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style2.xml" ContentType="application/vnd.ms-office.chartstyle+xml"/>
  <Override PartName="/xl/drawings/drawing2.xml" ContentType="application/vnd.openxmlformats-officedocument.drawing+xml"/>
  <Override PartName="/xl/drawings/drawing3.xml" ContentType="application/vnd.openxmlformats-officedocument.drawing+xml"/>
  <Override PartName="/xl/slicers/slicer1.xml" ContentType="application/vnd.ms-excel.slicer+xml"/>
  <Override PartName="/xl/drawings/drawing4.xml" ContentType="application/vnd.openxmlformats-officedocument.drawing+xml"/>
  <Override PartName="/xl/slicers/slicer2.xml" ContentType="application/vnd.ms-excel.slicer+xml"/>
  <Override PartName="/xl/drawings/drawing5.xml" ContentType="application/vnd.openxmlformats-officedocument.drawing+xml"/>
  <Override PartName="/xl/slicers/slicer3.xml" ContentType="application/vnd.ms-excel.slicer+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colors2.xml" ContentType="application/vnd.ms-office.chartcolorstyle+xml"/>
  <Override PartName="/xl/drawings/drawing8.xml" ContentType="application/vnd.openxmlformats-officedocument.drawing+xml"/>
  <Override PartName="/xl/slicers/slicer4.xml" ContentType="application/vnd.ms-excel.slicer+xml"/>
  <Override PartName="/xl/drawings/drawing9.xml" ContentType="application/vnd.openxmlformats-officedocument.drawing+xml"/>
  <Override PartName="/xl/slicers/slicer5.xml" ContentType="application/vnd.ms-excel.slicer+xml"/>
  <Override PartName="/xl/drawings/drawing10.xml" ContentType="application/vnd.openxmlformats-officedocument.drawing+xml"/>
  <Override PartName="/xl/slicers/slicer6.xml" ContentType="application/vnd.ms-excel.slicer+xml"/>
  <Override PartName="/xl/drawings/drawing11.xml" ContentType="application/vnd.openxmlformats-officedocument.drawing+xml"/>
  <Override PartName="/xl/slicers/slicer7.xml" ContentType="application/vnd.ms-excel.slicer+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3.xml" ContentType="application/vnd.openxmlformats-officedocument.spreadsheetml.comments+xml"/>
  <Override PartName="/xl/tables/table7.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xl/comments2.xml" ContentType="application/vnd.openxmlformats-officedocument.spreadsheetml.comments+xml"/>
  <Override PartName="/xl/tables/table9.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filterPrivacy="1" codeName="ThisWorkbook" defaultThemeVersion="202300"/>
  <xr:revisionPtr revIDLastSave="0" documentId="8_{03F31E75-D9E9-4DD1-8557-23E3B8B2224C}" xr6:coauthVersionLast="47" xr6:coauthVersionMax="47" xr10:uidLastSave="{00000000-0000-0000-0000-000000000000}"/>
  <bookViews>
    <workbookView xWindow="-110" yWindow="-110" windowWidth="19420" windowHeight="11500" tabRatio="699" xr2:uid="{B96B92AF-5BE5-4AE3-8DD0-647E53B1F9E3}"/>
  </bookViews>
  <sheets>
    <sheet name="Lähtötiedot" sheetId="3" r:id="rId1"/>
    <sheet name="LV" sheetId="5" state="hidden" r:id="rId2"/>
    <sheet name="Kysymyspankki" sheetId="1" state="hidden" r:id="rId3"/>
    <sheet name="Ohje" sheetId="25" r:id="rId4"/>
    <sheet name="Turvallinen_ja_toimintavarma" sheetId="2" r:id="rId5"/>
    <sheet name="Kustannustehokas_ja_organisoitu" sheetId="21" r:id="rId6"/>
    <sheet name="Kestävä_ja_kehittyvä" sheetId="22" r:id="rId7"/>
    <sheet name="TEKNINEN - TulostenLasku" sheetId="9" state="hidden" r:id="rId8"/>
    <sheet name="Tulokset" sheetId="19" r:id="rId9"/>
    <sheet name="TEKNINEN - Korjattavaa" sheetId="17" state="hidden" r:id="rId10"/>
    <sheet name="Korjattavaa" sheetId="23" r:id="rId11"/>
    <sheet name="TEKNINEN - Koontisivu" sheetId="24" state="hidden" r:id="rId12"/>
    <sheet name="Koontisivu" sheetId="15" r:id="rId13"/>
  </sheets>
  <definedNames>
    <definedName name="Slicer_Alakategoria">#N/A</definedName>
    <definedName name="Slicer_Alakategoria1">#N/A</definedName>
    <definedName name="Slicer_Kuuluuko_kriteeri_kyseisen_laitoksen_vastattavaksi">#N/A</definedName>
    <definedName name="Slicer_Kuuluuko_kriteeri_kyseisen_laitoksen_vastattavaksi1">#N/A</definedName>
    <definedName name="Slicer_Näytetäänkö_rivi?">#N/A</definedName>
    <definedName name="Slicer_Onko_korjattavaa?">#N/A</definedName>
    <definedName name="Slicer_SeliteOsittajaan">#N/A</definedName>
    <definedName name="Slicer_SeliteOsittajaan1">#N/A</definedName>
    <definedName name="Slicer_SeliteOsittajaan1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4"/>
        <x14:slicerCache r:id="rId15"/>
        <x14:slicerCache r:id="rId16"/>
        <x14:slicerCache r:id="rId17"/>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7" l="1"/>
  <c r="H55" i="23" s="1"/>
  <c r="E3" i="15"/>
  <c r="E5" i="15"/>
  <c r="C6" i="15"/>
  <c r="D7" i="15"/>
  <c r="E7" i="15"/>
  <c r="L8" i="15"/>
  <c r="C9" i="15"/>
  <c r="F10" i="15"/>
  <c r="L10" i="15"/>
  <c r="E11" i="15"/>
  <c r="E12" i="15"/>
  <c r="D13" i="15"/>
  <c r="L13" i="15"/>
  <c r="N15" i="15"/>
  <c r="D16" i="15"/>
  <c r="E16" i="15"/>
  <c r="F16" i="15"/>
  <c r="H16" i="15"/>
  <c r="E19" i="15"/>
  <c r="D20" i="15"/>
  <c r="C21" i="15"/>
  <c r="C22" i="15"/>
  <c r="L24" i="15"/>
  <c r="H26" i="15"/>
  <c r="L26" i="15"/>
  <c r="E28" i="15"/>
  <c r="F30" i="15"/>
  <c r="L30" i="15"/>
  <c r="C31" i="15"/>
  <c r="D31" i="15"/>
  <c r="E31" i="15"/>
  <c r="H32" i="15"/>
  <c r="L32" i="15"/>
  <c r="D33" i="15"/>
  <c r="L33" i="15"/>
  <c r="M33" i="15"/>
  <c r="E35" i="15"/>
  <c r="H36" i="15"/>
  <c r="E37" i="15"/>
  <c r="F38" i="15"/>
  <c r="L38" i="15"/>
  <c r="C39" i="15"/>
  <c r="D39" i="15"/>
  <c r="E39" i="15"/>
  <c r="F39" i="15"/>
  <c r="L40" i="15"/>
  <c r="F42" i="15"/>
  <c r="G42" i="15"/>
  <c r="L42" i="15"/>
  <c r="E43" i="15"/>
  <c r="F44" i="15"/>
  <c r="L44" i="15"/>
  <c r="D45" i="15"/>
  <c r="E45" i="15"/>
  <c r="L46" i="15"/>
  <c r="F47" i="15"/>
  <c r="C48" i="15"/>
  <c r="L48" i="15"/>
  <c r="C51" i="15"/>
  <c r="D52" i="15"/>
  <c r="E52" i="15"/>
  <c r="D53" i="15"/>
  <c r="E53" i="15"/>
  <c r="C56" i="15"/>
  <c r="D56" i="15"/>
  <c r="F57" i="15"/>
  <c r="L57" i="15"/>
  <c r="D58" i="15"/>
  <c r="H58" i="15"/>
  <c r="C60" i="15"/>
  <c r="E61" i="15"/>
  <c r="F61" i="15"/>
  <c r="E62" i="15"/>
  <c r="C64" i="15"/>
  <c r="D64" i="15"/>
  <c r="G64" i="15"/>
  <c r="H64" i="15"/>
  <c r="F65" i="15"/>
  <c r="C66" i="15"/>
  <c r="D66" i="15"/>
  <c r="G66" i="15"/>
  <c r="H66" i="15"/>
  <c r="C67" i="15"/>
  <c r="D67" i="15"/>
  <c r="E67" i="15"/>
  <c r="F67" i="15"/>
  <c r="C68" i="15"/>
  <c r="G68" i="15"/>
  <c r="E69" i="15"/>
  <c r="F69" i="15"/>
  <c r="G69" i="15"/>
  <c r="H69" i="15"/>
  <c r="C70" i="15"/>
  <c r="D70" i="15"/>
  <c r="G70" i="15"/>
  <c r="H70" i="15"/>
  <c r="C71" i="15"/>
  <c r="G71" i="15"/>
  <c r="C72" i="15"/>
  <c r="D72" i="15"/>
  <c r="G72" i="15"/>
  <c r="H72" i="15"/>
  <c r="E73" i="15"/>
  <c r="F73" i="15"/>
  <c r="G73" i="15"/>
  <c r="H73" i="15"/>
  <c r="L73" i="15"/>
  <c r="H74" i="15"/>
  <c r="C75" i="15"/>
  <c r="D75" i="15"/>
  <c r="E75" i="15"/>
  <c r="F75" i="15"/>
  <c r="G75" i="15"/>
  <c r="C76" i="15"/>
  <c r="D76" i="15"/>
  <c r="C77" i="15"/>
  <c r="F77" i="15"/>
  <c r="G77" i="15"/>
  <c r="H77" i="15"/>
  <c r="D78" i="15"/>
  <c r="E78" i="15"/>
  <c r="F78" i="15"/>
  <c r="G78" i="15"/>
  <c r="H78" i="15"/>
  <c r="C80" i="15"/>
  <c r="D80" i="15"/>
  <c r="F80" i="15"/>
  <c r="H80" i="15"/>
  <c r="I80" i="15"/>
  <c r="E81" i="15"/>
  <c r="F81" i="15"/>
  <c r="G81" i="15"/>
  <c r="H81" i="15"/>
  <c r="C82" i="15"/>
  <c r="D82" i="15"/>
  <c r="G82" i="15"/>
  <c r="H82" i="15"/>
  <c r="E83" i="15"/>
  <c r="H83" i="15"/>
  <c r="C84" i="15"/>
  <c r="D84" i="15"/>
  <c r="E84" i="15"/>
  <c r="G84" i="15"/>
  <c r="F85" i="15"/>
  <c r="H85" i="15"/>
  <c r="N85" i="15"/>
  <c r="C86" i="15"/>
  <c r="D86" i="15"/>
  <c r="H86" i="15"/>
  <c r="D87" i="15"/>
  <c r="H87" i="15"/>
  <c r="D88" i="15"/>
  <c r="E88" i="15"/>
  <c r="G88" i="15"/>
  <c r="H88" i="15"/>
  <c r="C89" i="15"/>
  <c r="E89" i="15"/>
  <c r="F89" i="15"/>
  <c r="G89" i="15"/>
  <c r="C90" i="15"/>
  <c r="D90" i="15"/>
  <c r="G91" i="15"/>
  <c r="H91" i="15"/>
  <c r="C92" i="15"/>
  <c r="D92" i="15"/>
  <c r="E92" i="15"/>
  <c r="G92" i="15"/>
  <c r="H92" i="15"/>
  <c r="D93" i="15"/>
  <c r="E93" i="15"/>
  <c r="F93" i="15"/>
  <c r="G93" i="15"/>
  <c r="C94" i="15"/>
  <c r="D94" i="15"/>
  <c r="G94" i="15"/>
  <c r="H94" i="15"/>
  <c r="E95" i="15"/>
  <c r="G95" i="15"/>
  <c r="H95" i="15"/>
  <c r="L95" i="15"/>
  <c r="C96" i="15"/>
  <c r="D96" i="15"/>
  <c r="H96" i="15"/>
  <c r="D97" i="15"/>
  <c r="E97" i="15"/>
  <c r="F97" i="15"/>
  <c r="G97" i="15"/>
  <c r="C98" i="15"/>
  <c r="D98" i="15"/>
  <c r="G98" i="15"/>
  <c r="H98" i="15"/>
  <c r="E99" i="15"/>
  <c r="H99" i="15"/>
  <c r="C100" i="15"/>
  <c r="D100" i="15"/>
  <c r="E100" i="15"/>
  <c r="G100" i="15"/>
  <c r="H100" i="15"/>
  <c r="D102" i="15"/>
  <c r="F102" i="15"/>
  <c r="G102" i="15"/>
  <c r="H102" i="15"/>
  <c r="C103" i="15"/>
  <c r="G103" i="15"/>
  <c r="H103" i="15"/>
  <c r="C104" i="15"/>
  <c r="D104" i="15"/>
  <c r="G104" i="15"/>
  <c r="H104" i="15"/>
  <c r="H105" i="15"/>
  <c r="D106" i="15"/>
  <c r="F106" i="15"/>
  <c r="G106" i="15"/>
  <c r="H106" i="15"/>
  <c r="G107" i="15"/>
  <c r="D108" i="15"/>
  <c r="E108" i="15"/>
  <c r="F108" i="15"/>
  <c r="G108" i="15"/>
  <c r="H108" i="15"/>
  <c r="G109" i="15"/>
  <c r="C110" i="15"/>
  <c r="D110" i="15"/>
  <c r="G110" i="15"/>
  <c r="H110" i="15"/>
  <c r="D111" i="15"/>
  <c r="G111" i="15"/>
  <c r="H111" i="15"/>
  <c r="C112" i="15"/>
  <c r="D112" i="15"/>
  <c r="E112" i="15"/>
  <c r="F112" i="15"/>
  <c r="G112" i="15"/>
  <c r="H112" i="15"/>
  <c r="D114" i="15"/>
  <c r="F114" i="15"/>
  <c r="G114" i="15"/>
  <c r="H114" i="15"/>
  <c r="E115" i="15"/>
  <c r="F115" i="15"/>
  <c r="G115" i="15"/>
  <c r="H115" i="15"/>
  <c r="C116" i="15"/>
  <c r="D116" i="15"/>
  <c r="H116" i="15"/>
  <c r="F117" i="15"/>
  <c r="H117" i="15"/>
  <c r="C118" i="15"/>
  <c r="D118" i="15"/>
  <c r="E118" i="15"/>
  <c r="F118" i="15"/>
  <c r="G118" i="15"/>
  <c r="H118" i="15"/>
  <c r="D119" i="15"/>
  <c r="E119" i="15"/>
  <c r="I119" i="15"/>
  <c r="D120" i="15"/>
  <c r="E120" i="15"/>
  <c r="F120" i="15"/>
  <c r="G120" i="15"/>
  <c r="H120" i="15"/>
  <c r="F121" i="15"/>
  <c r="G121" i="15"/>
  <c r="H121" i="15"/>
  <c r="L121" i="15"/>
  <c r="C122" i="15"/>
  <c r="D122" i="15"/>
  <c r="G122" i="15"/>
  <c r="H122" i="15"/>
  <c r="E123" i="15"/>
  <c r="F123" i="15"/>
  <c r="G123" i="15"/>
  <c r="H123" i="15"/>
  <c r="C124" i="15"/>
  <c r="D124" i="15"/>
  <c r="F124" i="15"/>
  <c r="G124" i="15"/>
  <c r="H124" i="15"/>
  <c r="F125" i="15"/>
  <c r="L125" i="15"/>
  <c r="C126" i="15"/>
  <c r="D126" i="15"/>
  <c r="F126" i="15"/>
  <c r="G126" i="15"/>
  <c r="H126" i="15"/>
  <c r="C127" i="15"/>
  <c r="D127" i="15"/>
  <c r="F127" i="15"/>
  <c r="D128" i="15"/>
  <c r="F128" i="15"/>
  <c r="G128" i="15"/>
  <c r="H128" i="15"/>
  <c r="C129" i="15"/>
  <c r="F129" i="15"/>
  <c r="G129" i="15"/>
  <c r="H129" i="15"/>
  <c r="I129" i="15"/>
  <c r="C130" i="15"/>
  <c r="D130" i="15"/>
  <c r="G130" i="15"/>
  <c r="H130" i="15"/>
  <c r="F131" i="15"/>
  <c r="H131" i="15"/>
  <c r="J131" i="15"/>
  <c r="C132" i="15"/>
  <c r="D132" i="15"/>
  <c r="F132" i="15"/>
  <c r="G132" i="15"/>
  <c r="H132" i="15"/>
  <c r="H133" i="15"/>
  <c r="D134" i="15"/>
  <c r="E134" i="15"/>
  <c r="F134" i="15"/>
  <c r="G134" i="15"/>
  <c r="H134" i="15"/>
  <c r="F135" i="15"/>
  <c r="G135" i="15"/>
  <c r="H135" i="15"/>
  <c r="I135" i="15"/>
  <c r="C136" i="15"/>
  <c r="D136" i="15"/>
  <c r="E136" i="15"/>
  <c r="H136" i="15"/>
  <c r="E137" i="15"/>
  <c r="F137" i="15"/>
  <c r="G137" i="15"/>
  <c r="H137" i="15"/>
  <c r="D138" i="15"/>
  <c r="E138" i="15"/>
  <c r="F138" i="15"/>
  <c r="G138" i="15"/>
  <c r="H138" i="15"/>
  <c r="H139" i="15"/>
  <c r="D140" i="15"/>
  <c r="F140" i="15"/>
  <c r="G140" i="15"/>
  <c r="H140" i="15"/>
  <c r="I140" i="15"/>
  <c r="E141" i="15"/>
  <c r="F141" i="15"/>
  <c r="G141" i="15"/>
  <c r="H141" i="15"/>
  <c r="L141" i="15"/>
  <c r="C142" i="15"/>
  <c r="D142" i="15"/>
  <c r="G142" i="15"/>
  <c r="H142" i="15"/>
  <c r="F143" i="15"/>
  <c r="G143" i="15"/>
  <c r="H143" i="15"/>
  <c r="L143" i="15"/>
  <c r="E2" i="15"/>
  <c r="N143" i="24"/>
  <c r="M143" i="24"/>
  <c r="L143" i="24"/>
  <c r="J143" i="24"/>
  <c r="I143" i="24"/>
  <c r="I143" i="15" s="1"/>
  <c r="H143" i="24"/>
  <c r="G143" i="24"/>
  <c r="F143" i="24"/>
  <c r="E143" i="24"/>
  <c r="E143" i="15" s="1"/>
  <c r="D143" i="24"/>
  <c r="D143" i="15" s="1"/>
  <c r="C143" i="24"/>
  <c r="C143" i="15" s="1"/>
  <c r="N142" i="24"/>
  <c r="M142" i="24"/>
  <c r="L142" i="24"/>
  <c r="L142" i="15" s="1"/>
  <c r="J142" i="24"/>
  <c r="I142" i="24"/>
  <c r="H142" i="24"/>
  <c r="G142" i="24"/>
  <c r="F142" i="24"/>
  <c r="F142" i="15" s="1"/>
  <c r="E142" i="24"/>
  <c r="E142" i="15" s="1"/>
  <c r="D142" i="24"/>
  <c r="C142" i="24"/>
  <c r="N141" i="24"/>
  <c r="M141" i="24"/>
  <c r="L141" i="24"/>
  <c r="J141" i="24"/>
  <c r="I141" i="24"/>
  <c r="H141" i="24"/>
  <c r="G141" i="24"/>
  <c r="F141" i="24"/>
  <c r="E141" i="24"/>
  <c r="D141" i="24"/>
  <c r="D141" i="15" s="1"/>
  <c r="C141" i="24"/>
  <c r="C141" i="15" s="1"/>
  <c r="N140" i="24"/>
  <c r="M140" i="24"/>
  <c r="L140" i="24"/>
  <c r="L140" i="15" s="1"/>
  <c r="J140" i="24"/>
  <c r="I140" i="24"/>
  <c r="I141" i="15" s="1"/>
  <c r="H140" i="24"/>
  <c r="G140" i="24"/>
  <c r="F140" i="24"/>
  <c r="E140" i="24"/>
  <c r="E140" i="15" s="1"/>
  <c r="D140" i="24"/>
  <c r="C140" i="24"/>
  <c r="C140" i="15" s="1"/>
  <c r="N139" i="24"/>
  <c r="M139" i="24"/>
  <c r="L139" i="24"/>
  <c r="J139" i="24"/>
  <c r="I139" i="24"/>
  <c r="H139" i="24"/>
  <c r="G139" i="24"/>
  <c r="G139" i="15" s="1"/>
  <c r="F139" i="24"/>
  <c r="F139" i="15" s="1"/>
  <c r="E139" i="24"/>
  <c r="E139" i="15" s="1"/>
  <c r="D139" i="24"/>
  <c r="D139" i="15" s="1"/>
  <c r="C139" i="24"/>
  <c r="C139" i="15" s="1"/>
  <c r="N138" i="24"/>
  <c r="M138" i="24"/>
  <c r="L138" i="24"/>
  <c r="L139" i="15" s="1"/>
  <c r="J138" i="24"/>
  <c r="I138" i="24"/>
  <c r="I139" i="15" s="1"/>
  <c r="H138" i="24"/>
  <c r="G138" i="24"/>
  <c r="F138" i="24"/>
  <c r="E138" i="24"/>
  <c r="D138" i="24"/>
  <c r="C138" i="24"/>
  <c r="C138" i="15" s="1"/>
  <c r="N137" i="24"/>
  <c r="M137" i="24"/>
  <c r="L137" i="24"/>
  <c r="J137" i="24"/>
  <c r="J137" i="15" s="1"/>
  <c r="I137" i="24"/>
  <c r="I137" i="15" s="1"/>
  <c r="H137" i="24"/>
  <c r="G137" i="24"/>
  <c r="F137" i="24"/>
  <c r="E137" i="24"/>
  <c r="D137" i="24"/>
  <c r="D137" i="15" s="1"/>
  <c r="C137" i="24"/>
  <c r="C137" i="15" s="1"/>
  <c r="N136" i="24"/>
  <c r="M136" i="24"/>
  <c r="L136" i="24"/>
  <c r="J136" i="24"/>
  <c r="I136" i="24"/>
  <c r="I136" i="15" s="1"/>
  <c r="H136" i="24"/>
  <c r="G136" i="24"/>
  <c r="G136" i="15" s="1"/>
  <c r="F136" i="24"/>
  <c r="F136" i="15" s="1"/>
  <c r="E136" i="24"/>
  <c r="D136" i="24"/>
  <c r="C136" i="24"/>
  <c r="N135" i="24"/>
  <c r="M135" i="24"/>
  <c r="L135" i="24"/>
  <c r="J135" i="24"/>
  <c r="I135" i="24"/>
  <c r="H135" i="24"/>
  <c r="G135" i="24"/>
  <c r="F135" i="24"/>
  <c r="E135" i="24"/>
  <c r="E135" i="15" s="1"/>
  <c r="D135" i="24"/>
  <c r="D135" i="15" s="1"/>
  <c r="C135" i="24"/>
  <c r="C135" i="15" s="1"/>
  <c r="N134" i="24"/>
  <c r="M134" i="24"/>
  <c r="L134" i="24"/>
  <c r="L135" i="15" s="1"/>
  <c r="J134" i="24"/>
  <c r="I134" i="24"/>
  <c r="H134" i="24"/>
  <c r="G134" i="24"/>
  <c r="F134" i="24"/>
  <c r="E134" i="24"/>
  <c r="D134" i="24"/>
  <c r="C134" i="24"/>
  <c r="C134" i="15" s="1"/>
  <c r="N133" i="24"/>
  <c r="M133" i="24"/>
  <c r="L133" i="24"/>
  <c r="J133" i="24"/>
  <c r="I133" i="24"/>
  <c r="H133" i="24"/>
  <c r="G133" i="24"/>
  <c r="G133" i="15" s="1"/>
  <c r="F133" i="24"/>
  <c r="F133" i="15" s="1"/>
  <c r="E133" i="24"/>
  <c r="E133" i="15" s="1"/>
  <c r="D133" i="24"/>
  <c r="D133" i="15" s="1"/>
  <c r="C133" i="24"/>
  <c r="C133" i="15" s="1"/>
  <c r="N132" i="24"/>
  <c r="M132" i="24"/>
  <c r="L132" i="24"/>
  <c r="L133" i="15" s="1"/>
  <c r="J132" i="24"/>
  <c r="I132" i="24"/>
  <c r="I132" i="15" s="1"/>
  <c r="H132" i="24"/>
  <c r="G132" i="24"/>
  <c r="F132" i="24"/>
  <c r="E132" i="24"/>
  <c r="E132" i="15" s="1"/>
  <c r="D132" i="24"/>
  <c r="C132" i="24"/>
  <c r="N131" i="24"/>
  <c r="M131" i="24"/>
  <c r="L131" i="24"/>
  <c r="J131" i="24"/>
  <c r="I131" i="24"/>
  <c r="H131" i="24"/>
  <c r="G131" i="24"/>
  <c r="G131" i="15" s="1"/>
  <c r="F131" i="24"/>
  <c r="E131" i="24"/>
  <c r="E131" i="15" s="1"/>
  <c r="D131" i="24"/>
  <c r="D131" i="15" s="1"/>
  <c r="C131" i="24"/>
  <c r="C131" i="15" s="1"/>
  <c r="N130" i="24"/>
  <c r="M130" i="24"/>
  <c r="L130" i="24"/>
  <c r="J130" i="24"/>
  <c r="I130" i="24"/>
  <c r="I131" i="15" s="1"/>
  <c r="H130" i="24"/>
  <c r="G130" i="24"/>
  <c r="F130" i="24"/>
  <c r="F130" i="15" s="1"/>
  <c r="E130" i="24"/>
  <c r="E130" i="15" s="1"/>
  <c r="D130" i="24"/>
  <c r="C130" i="24"/>
  <c r="N129" i="24"/>
  <c r="M129" i="24"/>
  <c r="L129" i="24"/>
  <c r="J129" i="24"/>
  <c r="I129" i="24"/>
  <c r="H129" i="24"/>
  <c r="G129" i="24"/>
  <c r="F129" i="24"/>
  <c r="E129" i="24"/>
  <c r="E129" i="15" s="1"/>
  <c r="D129" i="24"/>
  <c r="D129" i="15" s="1"/>
  <c r="C129" i="24"/>
  <c r="N128" i="24"/>
  <c r="M128" i="24"/>
  <c r="L128" i="24"/>
  <c r="L129" i="15" s="1"/>
  <c r="J128" i="24"/>
  <c r="I128" i="24"/>
  <c r="I128" i="15" s="1"/>
  <c r="H128" i="24"/>
  <c r="G128" i="24"/>
  <c r="F128" i="24"/>
  <c r="E128" i="24"/>
  <c r="E128" i="15" s="1"/>
  <c r="D128" i="24"/>
  <c r="C128" i="24"/>
  <c r="C128" i="15" s="1"/>
  <c r="N127" i="24"/>
  <c r="M127" i="24"/>
  <c r="L127" i="24"/>
  <c r="J127" i="24"/>
  <c r="I127" i="24"/>
  <c r="I127" i="15" s="1"/>
  <c r="H127" i="24"/>
  <c r="H127" i="15" s="1"/>
  <c r="G127" i="24"/>
  <c r="G127" i="15" s="1"/>
  <c r="F127" i="24"/>
  <c r="E127" i="24"/>
  <c r="E127" i="15" s="1"/>
  <c r="D127" i="24"/>
  <c r="C127" i="24"/>
  <c r="N126" i="24"/>
  <c r="M126" i="24"/>
  <c r="L126" i="24"/>
  <c r="L127" i="15" s="1"/>
  <c r="J126" i="24"/>
  <c r="I126" i="24"/>
  <c r="H126" i="24"/>
  <c r="G126" i="24"/>
  <c r="F126" i="24"/>
  <c r="E126" i="24"/>
  <c r="E126" i="15" s="1"/>
  <c r="D126" i="24"/>
  <c r="C126" i="24"/>
  <c r="N125" i="24"/>
  <c r="M125" i="24"/>
  <c r="L125" i="24"/>
  <c r="J125" i="24"/>
  <c r="I125" i="24"/>
  <c r="H125" i="24"/>
  <c r="H125" i="15" s="1"/>
  <c r="G125" i="24"/>
  <c r="G125" i="15" s="1"/>
  <c r="F125" i="24"/>
  <c r="E125" i="24"/>
  <c r="E125" i="15" s="1"/>
  <c r="D125" i="24"/>
  <c r="D125" i="15" s="1"/>
  <c r="C125" i="24"/>
  <c r="C125" i="15" s="1"/>
  <c r="N124" i="24"/>
  <c r="M124" i="24"/>
  <c r="L124" i="24"/>
  <c r="L124" i="15" s="1"/>
  <c r="J124" i="24"/>
  <c r="I124" i="24"/>
  <c r="I125" i="15" s="1"/>
  <c r="H124" i="24"/>
  <c r="G124" i="24"/>
  <c r="F124" i="24"/>
  <c r="E124" i="24"/>
  <c r="E124" i="15" s="1"/>
  <c r="D124" i="24"/>
  <c r="C124" i="24"/>
  <c r="N123" i="24"/>
  <c r="M123" i="24"/>
  <c r="L123" i="24"/>
  <c r="L123" i="15" s="1"/>
  <c r="J123" i="24"/>
  <c r="I123" i="24"/>
  <c r="H123" i="24"/>
  <c r="G123" i="24"/>
  <c r="F123" i="24"/>
  <c r="E123" i="24"/>
  <c r="D123" i="24"/>
  <c r="D123" i="15" s="1"/>
  <c r="C123" i="24"/>
  <c r="C123" i="15" s="1"/>
  <c r="N122" i="24"/>
  <c r="M122" i="24"/>
  <c r="L122" i="24"/>
  <c r="L122" i="15" s="1"/>
  <c r="J122" i="24"/>
  <c r="I122" i="24"/>
  <c r="I123" i="15" s="1"/>
  <c r="H122" i="24"/>
  <c r="G122" i="24"/>
  <c r="F122" i="24"/>
  <c r="F122" i="15" s="1"/>
  <c r="E122" i="24"/>
  <c r="E122" i="15" s="1"/>
  <c r="D122" i="24"/>
  <c r="C122" i="24"/>
  <c r="N121" i="24"/>
  <c r="M121" i="24"/>
  <c r="L121" i="24"/>
  <c r="J121" i="24"/>
  <c r="I121" i="24"/>
  <c r="H121" i="24"/>
  <c r="G121" i="24"/>
  <c r="F121" i="24"/>
  <c r="E121" i="24"/>
  <c r="E121" i="15" s="1"/>
  <c r="D121" i="24"/>
  <c r="D121" i="15" s="1"/>
  <c r="C121" i="24"/>
  <c r="C121" i="15" s="1"/>
  <c r="N120" i="24"/>
  <c r="M120" i="24"/>
  <c r="L120" i="24"/>
  <c r="L120" i="15" s="1"/>
  <c r="J120" i="24"/>
  <c r="I120" i="24"/>
  <c r="H120" i="24"/>
  <c r="G120" i="24"/>
  <c r="F120" i="24"/>
  <c r="E120" i="24"/>
  <c r="D120" i="24"/>
  <c r="C120" i="24"/>
  <c r="C120" i="15" s="1"/>
  <c r="N119" i="24"/>
  <c r="M119" i="24"/>
  <c r="L119" i="24"/>
  <c r="J119" i="24"/>
  <c r="I119" i="24"/>
  <c r="H119" i="24"/>
  <c r="H119" i="15" s="1"/>
  <c r="G119" i="24"/>
  <c r="G119" i="15" s="1"/>
  <c r="F119" i="24"/>
  <c r="F119" i="15" s="1"/>
  <c r="E119" i="24"/>
  <c r="D119" i="24"/>
  <c r="C119" i="24"/>
  <c r="C119" i="15" s="1"/>
  <c r="N118" i="24"/>
  <c r="M118" i="24"/>
  <c r="L118" i="24"/>
  <c r="L119" i="15" s="1"/>
  <c r="J118" i="24"/>
  <c r="I118" i="24"/>
  <c r="H118" i="24"/>
  <c r="G118" i="24"/>
  <c r="F118" i="24"/>
  <c r="E118" i="24"/>
  <c r="D118" i="24"/>
  <c r="C118" i="24"/>
  <c r="N117" i="24"/>
  <c r="M117" i="24"/>
  <c r="L117" i="24"/>
  <c r="J117" i="24"/>
  <c r="I117" i="24"/>
  <c r="I117" i="15" s="1"/>
  <c r="H117" i="24"/>
  <c r="G117" i="24"/>
  <c r="G117" i="15" s="1"/>
  <c r="F117" i="24"/>
  <c r="E117" i="24"/>
  <c r="E117" i="15" s="1"/>
  <c r="D117" i="24"/>
  <c r="D117" i="15" s="1"/>
  <c r="C117" i="24"/>
  <c r="C117" i="15" s="1"/>
  <c r="N116" i="24"/>
  <c r="M116" i="24"/>
  <c r="L116" i="24"/>
  <c r="J116" i="24"/>
  <c r="I116" i="24"/>
  <c r="I116" i="15" s="1"/>
  <c r="H116" i="24"/>
  <c r="G116" i="24"/>
  <c r="G116" i="15" s="1"/>
  <c r="F116" i="24"/>
  <c r="F116" i="15" s="1"/>
  <c r="E116" i="24"/>
  <c r="E116" i="15" s="1"/>
  <c r="D116" i="24"/>
  <c r="C116" i="24"/>
  <c r="N115" i="24"/>
  <c r="M115" i="24"/>
  <c r="L115" i="24"/>
  <c r="J115" i="24"/>
  <c r="I115" i="24"/>
  <c r="I115" i="15" s="1"/>
  <c r="H115" i="24"/>
  <c r="G115" i="24"/>
  <c r="F115" i="24"/>
  <c r="E115" i="24"/>
  <c r="D115" i="24"/>
  <c r="D115" i="15" s="1"/>
  <c r="C115" i="24"/>
  <c r="C115" i="15" s="1"/>
  <c r="N114" i="24"/>
  <c r="M114" i="24"/>
  <c r="L114" i="24"/>
  <c r="L115" i="15" s="1"/>
  <c r="J114" i="24"/>
  <c r="I114" i="24"/>
  <c r="I114" i="15" s="1"/>
  <c r="H114" i="24"/>
  <c r="G114" i="24"/>
  <c r="F114" i="24"/>
  <c r="E114" i="24"/>
  <c r="E114" i="15" s="1"/>
  <c r="D114" i="24"/>
  <c r="C114" i="24"/>
  <c r="C114" i="15" s="1"/>
  <c r="N113" i="24"/>
  <c r="M113" i="24"/>
  <c r="L113" i="24"/>
  <c r="J113" i="24"/>
  <c r="I113" i="24"/>
  <c r="H113" i="24"/>
  <c r="H113" i="15" s="1"/>
  <c r="G113" i="24"/>
  <c r="G113" i="15" s="1"/>
  <c r="F113" i="24"/>
  <c r="F113" i="15" s="1"/>
  <c r="E113" i="24"/>
  <c r="E113" i="15" s="1"/>
  <c r="D113" i="24"/>
  <c r="D113" i="15" s="1"/>
  <c r="C113" i="24"/>
  <c r="C113" i="15" s="1"/>
  <c r="N112" i="24"/>
  <c r="M112" i="24"/>
  <c r="L112" i="24"/>
  <c r="L113" i="15" s="1"/>
  <c r="J112" i="24"/>
  <c r="I112" i="24"/>
  <c r="H112" i="24"/>
  <c r="G112" i="24"/>
  <c r="F112" i="24"/>
  <c r="E112" i="24"/>
  <c r="D112" i="24"/>
  <c r="C112" i="24"/>
  <c r="N111" i="24"/>
  <c r="M111" i="24"/>
  <c r="L111" i="24"/>
  <c r="J111" i="24"/>
  <c r="I111" i="24"/>
  <c r="I111" i="15" s="1"/>
  <c r="H111" i="24"/>
  <c r="G111" i="24"/>
  <c r="F111" i="24"/>
  <c r="F111" i="15" s="1"/>
  <c r="E111" i="24"/>
  <c r="E111" i="15" s="1"/>
  <c r="D111" i="24"/>
  <c r="C111" i="24"/>
  <c r="C111" i="15" s="1"/>
  <c r="N110" i="24"/>
  <c r="M110" i="24"/>
  <c r="L110" i="24"/>
  <c r="J110" i="24"/>
  <c r="I110" i="24"/>
  <c r="H110" i="24"/>
  <c r="G110" i="24"/>
  <c r="F110" i="24"/>
  <c r="F110" i="15" s="1"/>
  <c r="E110" i="24"/>
  <c r="E110" i="15" s="1"/>
  <c r="D110" i="24"/>
  <c r="C110" i="24"/>
  <c r="N109" i="24"/>
  <c r="M109" i="24"/>
  <c r="L109" i="24"/>
  <c r="J109" i="24"/>
  <c r="I109" i="24"/>
  <c r="H109" i="24"/>
  <c r="H109" i="15" s="1"/>
  <c r="G109" i="24"/>
  <c r="F109" i="24"/>
  <c r="F109" i="15" s="1"/>
  <c r="E109" i="24"/>
  <c r="E109" i="15" s="1"/>
  <c r="D109" i="24"/>
  <c r="D109" i="15" s="1"/>
  <c r="C109" i="24"/>
  <c r="C109" i="15" s="1"/>
  <c r="N108" i="24"/>
  <c r="M108" i="24"/>
  <c r="L108" i="24"/>
  <c r="L109" i="15" s="1"/>
  <c r="J108" i="24"/>
  <c r="I108" i="24"/>
  <c r="I108" i="15" s="1"/>
  <c r="H108" i="24"/>
  <c r="G108" i="24"/>
  <c r="F108" i="24"/>
  <c r="E108" i="24"/>
  <c r="D108" i="24"/>
  <c r="C108" i="24"/>
  <c r="C108" i="15" s="1"/>
  <c r="N107" i="24"/>
  <c r="M107" i="24"/>
  <c r="L107" i="24"/>
  <c r="J107" i="24"/>
  <c r="I107" i="24"/>
  <c r="H107" i="24"/>
  <c r="H107" i="15" s="1"/>
  <c r="G107" i="24"/>
  <c r="F107" i="24"/>
  <c r="F107" i="15" s="1"/>
  <c r="E107" i="24"/>
  <c r="E107" i="15" s="1"/>
  <c r="D107" i="24"/>
  <c r="D107" i="15" s="1"/>
  <c r="C107" i="24"/>
  <c r="C107" i="15" s="1"/>
  <c r="N106" i="24"/>
  <c r="M106" i="24"/>
  <c r="L106" i="24"/>
  <c r="L107" i="15" s="1"/>
  <c r="J106" i="24"/>
  <c r="I106" i="24"/>
  <c r="H106" i="24"/>
  <c r="G106" i="24"/>
  <c r="F106" i="24"/>
  <c r="E106" i="24"/>
  <c r="E106" i="15" s="1"/>
  <c r="D106" i="24"/>
  <c r="C106" i="24"/>
  <c r="C106" i="15" s="1"/>
  <c r="N105" i="24"/>
  <c r="M105" i="24"/>
  <c r="L105" i="24"/>
  <c r="J105" i="24"/>
  <c r="I105" i="24"/>
  <c r="I105" i="15" s="1"/>
  <c r="H105" i="24"/>
  <c r="G105" i="24"/>
  <c r="G105" i="15" s="1"/>
  <c r="F105" i="24"/>
  <c r="F105" i="15" s="1"/>
  <c r="E105" i="24"/>
  <c r="E105" i="15" s="1"/>
  <c r="D105" i="24"/>
  <c r="D105" i="15" s="1"/>
  <c r="C105" i="24"/>
  <c r="C105" i="15" s="1"/>
  <c r="N104" i="24"/>
  <c r="M104" i="24"/>
  <c r="L104" i="24"/>
  <c r="J104" i="24"/>
  <c r="I104" i="24"/>
  <c r="H104" i="24"/>
  <c r="G104" i="24"/>
  <c r="F104" i="24"/>
  <c r="F104" i="15" s="1"/>
  <c r="E104" i="24"/>
  <c r="E104" i="15" s="1"/>
  <c r="D104" i="24"/>
  <c r="C104" i="24"/>
  <c r="N103" i="24"/>
  <c r="M103" i="24"/>
  <c r="L103" i="24"/>
  <c r="J103" i="24"/>
  <c r="I103" i="24"/>
  <c r="H103" i="24"/>
  <c r="G103" i="24"/>
  <c r="F103" i="24"/>
  <c r="F103" i="15" s="1"/>
  <c r="E103" i="24"/>
  <c r="E103" i="15" s="1"/>
  <c r="D103" i="24"/>
  <c r="D103" i="15" s="1"/>
  <c r="C103" i="24"/>
  <c r="N102" i="24"/>
  <c r="M102" i="24"/>
  <c r="L102" i="24"/>
  <c r="L103" i="15" s="1"/>
  <c r="J102" i="24"/>
  <c r="I102" i="24"/>
  <c r="H102" i="24"/>
  <c r="G102" i="24"/>
  <c r="F102" i="24"/>
  <c r="E102" i="24"/>
  <c r="E102" i="15" s="1"/>
  <c r="D102" i="24"/>
  <c r="C102" i="24"/>
  <c r="C102" i="15" s="1"/>
  <c r="N101" i="24"/>
  <c r="M101" i="24"/>
  <c r="L101" i="24"/>
  <c r="L101" i="15" s="1"/>
  <c r="J101" i="24"/>
  <c r="I101" i="24"/>
  <c r="H101" i="24"/>
  <c r="H101" i="15" s="1"/>
  <c r="G101" i="24"/>
  <c r="G101" i="15" s="1"/>
  <c r="F101" i="24"/>
  <c r="F101" i="15" s="1"/>
  <c r="E101" i="24"/>
  <c r="E101" i="15" s="1"/>
  <c r="D101" i="24"/>
  <c r="D101" i="15" s="1"/>
  <c r="C101" i="24"/>
  <c r="C101" i="15" s="1"/>
  <c r="N100" i="24"/>
  <c r="M100" i="24"/>
  <c r="L100" i="24"/>
  <c r="L100" i="15" s="1"/>
  <c r="J100" i="24"/>
  <c r="I100" i="24"/>
  <c r="H100" i="24"/>
  <c r="G100" i="24"/>
  <c r="F100" i="24"/>
  <c r="F100" i="15" s="1"/>
  <c r="E100" i="24"/>
  <c r="D100" i="24"/>
  <c r="C100" i="24"/>
  <c r="N99" i="24"/>
  <c r="M99" i="24"/>
  <c r="L99" i="24"/>
  <c r="L99" i="15" s="1"/>
  <c r="J99" i="24"/>
  <c r="I99" i="24"/>
  <c r="I100" i="15" s="1"/>
  <c r="H99" i="24"/>
  <c r="G99" i="24"/>
  <c r="G99" i="15" s="1"/>
  <c r="F99" i="24"/>
  <c r="F99" i="15" s="1"/>
  <c r="E99" i="24"/>
  <c r="D99" i="24"/>
  <c r="D99" i="15" s="1"/>
  <c r="C99" i="24"/>
  <c r="C99" i="15" s="1"/>
  <c r="N98" i="24"/>
  <c r="M98" i="24"/>
  <c r="L98" i="24"/>
  <c r="L98" i="15" s="1"/>
  <c r="J98" i="24"/>
  <c r="I98" i="24"/>
  <c r="I98" i="15" s="1"/>
  <c r="H98" i="24"/>
  <c r="G98" i="24"/>
  <c r="F98" i="24"/>
  <c r="F98" i="15" s="1"/>
  <c r="E98" i="24"/>
  <c r="E98" i="15" s="1"/>
  <c r="D98" i="24"/>
  <c r="C98" i="24"/>
  <c r="N97" i="24"/>
  <c r="M97" i="24"/>
  <c r="L97" i="24"/>
  <c r="L97" i="15" s="1"/>
  <c r="J97" i="24"/>
  <c r="I97" i="24"/>
  <c r="I97" i="15" s="1"/>
  <c r="H97" i="24"/>
  <c r="H97" i="15" s="1"/>
  <c r="G97" i="24"/>
  <c r="F97" i="24"/>
  <c r="E97" i="24"/>
  <c r="D97" i="24"/>
  <c r="C97" i="24"/>
  <c r="C97" i="15" s="1"/>
  <c r="N96" i="24"/>
  <c r="M96" i="24"/>
  <c r="L96" i="24"/>
  <c r="L96" i="15" s="1"/>
  <c r="J96" i="24"/>
  <c r="I96" i="24"/>
  <c r="I96" i="15" s="1"/>
  <c r="H96" i="24"/>
  <c r="G96" i="24"/>
  <c r="G96" i="15" s="1"/>
  <c r="F96" i="24"/>
  <c r="F96" i="15" s="1"/>
  <c r="E96" i="24"/>
  <c r="E96" i="15" s="1"/>
  <c r="D96" i="24"/>
  <c r="C96" i="24"/>
  <c r="N95" i="24"/>
  <c r="M95" i="24"/>
  <c r="L95" i="24"/>
  <c r="J95" i="24"/>
  <c r="J95" i="15" s="1"/>
  <c r="I95" i="24"/>
  <c r="H95" i="24"/>
  <c r="G95" i="24"/>
  <c r="F95" i="24"/>
  <c r="F95" i="15" s="1"/>
  <c r="E95" i="24"/>
  <c r="D95" i="24"/>
  <c r="D95" i="15" s="1"/>
  <c r="C95" i="24"/>
  <c r="C95" i="15" s="1"/>
  <c r="N94" i="24"/>
  <c r="M94" i="24"/>
  <c r="L94" i="24"/>
  <c r="L94" i="15" s="1"/>
  <c r="J94" i="24"/>
  <c r="I94" i="24"/>
  <c r="H94" i="24"/>
  <c r="G94" i="24"/>
  <c r="F94" i="24"/>
  <c r="F94" i="15" s="1"/>
  <c r="E94" i="24"/>
  <c r="E94" i="15" s="1"/>
  <c r="D94" i="24"/>
  <c r="C94" i="24"/>
  <c r="N93" i="24"/>
  <c r="M93" i="24"/>
  <c r="L93" i="24"/>
  <c r="L93" i="15" s="1"/>
  <c r="J93" i="24"/>
  <c r="I93" i="24"/>
  <c r="H93" i="24"/>
  <c r="H93" i="15" s="1"/>
  <c r="G93" i="24"/>
  <c r="F93" i="24"/>
  <c r="E93" i="24"/>
  <c r="D93" i="24"/>
  <c r="C93" i="24"/>
  <c r="C93" i="15" s="1"/>
  <c r="N92" i="24"/>
  <c r="M92" i="24"/>
  <c r="L92" i="24"/>
  <c r="L92" i="15" s="1"/>
  <c r="J92" i="24"/>
  <c r="I92" i="24"/>
  <c r="H92" i="24"/>
  <c r="G92" i="24"/>
  <c r="F92" i="24"/>
  <c r="F92" i="15" s="1"/>
  <c r="E92" i="24"/>
  <c r="D92" i="24"/>
  <c r="C92" i="24"/>
  <c r="N91" i="24"/>
  <c r="M91" i="24"/>
  <c r="L91" i="24"/>
  <c r="J91" i="24"/>
  <c r="I91" i="24"/>
  <c r="I92" i="15" s="1"/>
  <c r="H91" i="24"/>
  <c r="G91" i="24"/>
  <c r="F91" i="24"/>
  <c r="F91" i="15" s="1"/>
  <c r="E91" i="24"/>
  <c r="E91" i="15" s="1"/>
  <c r="D91" i="24"/>
  <c r="D91" i="15" s="1"/>
  <c r="C91" i="24"/>
  <c r="C91" i="15" s="1"/>
  <c r="N90" i="24"/>
  <c r="M90" i="24"/>
  <c r="L90" i="24"/>
  <c r="J90" i="24"/>
  <c r="I90" i="24"/>
  <c r="H90" i="24"/>
  <c r="H90" i="15" s="1"/>
  <c r="G90" i="24"/>
  <c r="G90" i="15" s="1"/>
  <c r="F90" i="24"/>
  <c r="F90" i="15" s="1"/>
  <c r="E90" i="24"/>
  <c r="E90" i="15" s="1"/>
  <c r="D90" i="24"/>
  <c r="C90" i="24"/>
  <c r="N89" i="24"/>
  <c r="M89" i="24"/>
  <c r="L89" i="24"/>
  <c r="J89" i="24"/>
  <c r="I89" i="24"/>
  <c r="I90" i="15" s="1"/>
  <c r="H89" i="24"/>
  <c r="H89" i="15" s="1"/>
  <c r="G89" i="24"/>
  <c r="F89" i="24"/>
  <c r="E89" i="24"/>
  <c r="D89" i="24"/>
  <c r="D89" i="15" s="1"/>
  <c r="C89" i="24"/>
  <c r="N88" i="24"/>
  <c r="M88" i="24"/>
  <c r="L88" i="24"/>
  <c r="L89" i="15" s="1"/>
  <c r="J88" i="24"/>
  <c r="I88" i="24"/>
  <c r="I88" i="15" s="1"/>
  <c r="H88" i="24"/>
  <c r="G88" i="24"/>
  <c r="F88" i="24"/>
  <c r="F88" i="15" s="1"/>
  <c r="E88" i="24"/>
  <c r="D88" i="24"/>
  <c r="C88" i="24"/>
  <c r="C88" i="15" s="1"/>
  <c r="N87" i="24"/>
  <c r="M87" i="24"/>
  <c r="L87" i="24"/>
  <c r="J87" i="24"/>
  <c r="I87" i="24"/>
  <c r="H87" i="24"/>
  <c r="G87" i="24"/>
  <c r="G87" i="15" s="1"/>
  <c r="F87" i="24"/>
  <c r="F87" i="15" s="1"/>
  <c r="E87" i="24"/>
  <c r="E87" i="15" s="1"/>
  <c r="D87" i="24"/>
  <c r="C87" i="24"/>
  <c r="C87" i="15" s="1"/>
  <c r="N86" i="24"/>
  <c r="M86" i="24"/>
  <c r="L86" i="24"/>
  <c r="L87" i="15" s="1"/>
  <c r="J86" i="24"/>
  <c r="I86" i="24"/>
  <c r="H86" i="24"/>
  <c r="G86" i="24"/>
  <c r="G86" i="15" s="1"/>
  <c r="F86" i="24"/>
  <c r="F86" i="15" s="1"/>
  <c r="E86" i="24"/>
  <c r="E86" i="15" s="1"/>
  <c r="D86" i="24"/>
  <c r="C86" i="24"/>
  <c r="N85" i="24"/>
  <c r="M85" i="24"/>
  <c r="L85" i="24"/>
  <c r="J85" i="24"/>
  <c r="J85" i="15" s="1"/>
  <c r="I85" i="24"/>
  <c r="I85" i="15" s="1"/>
  <c r="H85" i="24"/>
  <c r="G85" i="24"/>
  <c r="G85" i="15" s="1"/>
  <c r="F85" i="24"/>
  <c r="E85" i="24"/>
  <c r="E85" i="15" s="1"/>
  <c r="D85" i="24"/>
  <c r="D85" i="15" s="1"/>
  <c r="C85" i="24"/>
  <c r="C85" i="15" s="1"/>
  <c r="N84" i="24"/>
  <c r="M84" i="24"/>
  <c r="L84" i="24"/>
  <c r="J84" i="24"/>
  <c r="I84" i="24"/>
  <c r="I84" i="15" s="1"/>
  <c r="H84" i="24"/>
  <c r="H84" i="15" s="1"/>
  <c r="G84" i="24"/>
  <c r="F84" i="24"/>
  <c r="F84" i="15" s="1"/>
  <c r="E84" i="24"/>
  <c r="D84" i="24"/>
  <c r="C84" i="24"/>
  <c r="N83" i="24"/>
  <c r="M83" i="24"/>
  <c r="L83" i="24"/>
  <c r="J83" i="24"/>
  <c r="I83" i="24"/>
  <c r="I83" i="15" s="1"/>
  <c r="H83" i="24"/>
  <c r="G83" i="24"/>
  <c r="G83" i="15" s="1"/>
  <c r="F83" i="24"/>
  <c r="F83" i="15" s="1"/>
  <c r="E83" i="24"/>
  <c r="D83" i="24"/>
  <c r="D83" i="15" s="1"/>
  <c r="C83" i="24"/>
  <c r="C83" i="15" s="1"/>
  <c r="N82" i="24"/>
  <c r="M82" i="24"/>
  <c r="L82" i="24"/>
  <c r="L83" i="15" s="1"/>
  <c r="J82" i="24"/>
  <c r="I82" i="24"/>
  <c r="H82" i="24"/>
  <c r="G82" i="24"/>
  <c r="F82" i="24"/>
  <c r="F82" i="15" s="1"/>
  <c r="E82" i="24"/>
  <c r="E82" i="15" s="1"/>
  <c r="D82" i="24"/>
  <c r="C82" i="24"/>
  <c r="N81" i="24"/>
  <c r="M81" i="24"/>
  <c r="L81" i="24"/>
  <c r="J81" i="24"/>
  <c r="I81" i="24"/>
  <c r="H81" i="24"/>
  <c r="G81" i="24"/>
  <c r="F81" i="24"/>
  <c r="E81" i="24"/>
  <c r="D81" i="24"/>
  <c r="D81" i="15" s="1"/>
  <c r="C81" i="24"/>
  <c r="C81" i="15" s="1"/>
  <c r="N80" i="24"/>
  <c r="M80" i="24"/>
  <c r="L80" i="24"/>
  <c r="L81" i="15" s="1"/>
  <c r="J80" i="24"/>
  <c r="I80" i="24"/>
  <c r="H80" i="24"/>
  <c r="G80" i="24"/>
  <c r="G80" i="15" s="1"/>
  <c r="F80" i="24"/>
  <c r="E80" i="24"/>
  <c r="E80" i="15" s="1"/>
  <c r="D80" i="24"/>
  <c r="C80" i="24"/>
  <c r="N79" i="24"/>
  <c r="M79" i="24"/>
  <c r="L79" i="24"/>
  <c r="L79" i="15" s="1"/>
  <c r="J79" i="24"/>
  <c r="I79" i="24"/>
  <c r="I79" i="15" s="1"/>
  <c r="H79" i="24"/>
  <c r="H79" i="15" s="1"/>
  <c r="G79" i="24"/>
  <c r="G79" i="15" s="1"/>
  <c r="F79" i="24"/>
  <c r="F79" i="15" s="1"/>
  <c r="E79" i="24"/>
  <c r="E79" i="15" s="1"/>
  <c r="D79" i="24"/>
  <c r="D79" i="15" s="1"/>
  <c r="C79" i="24"/>
  <c r="C79" i="15" s="1"/>
  <c r="N78" i="24"/>
  <c r="M78" i="24"/>
  <c r="L78" i="24"/>
  <c r="L78" i="15" s="1"/>
  <c r="J78" i="24"/>
  <c r="I78" i="24"/>
  <c r="H78" i="24"/>
  <c r="G78" i="24"/>
  <c r="F78" i="24"/>
  <c r="E78" i="24"/>
  <c r="D78" i="24"/>
  <c r="C78" i="24"/>
  <c r="C78" i="15" s="1"/>
  <c r="N77" i="24"/>
  <c r="M77" i="24"/>
  <c r="L77" i="24"/>
  <c r="L77" i="15" s="1"/>
  <c r="J77" i="24"/>
  <c r="I77" i="24"/>
  <c r="I78" i="15" s="1"/>
  <c r="H77" i="24"/>
  <c r="G77" i="24"/>
  <c r="F77" i="24"/>
  <c r="E77" i="24"/>
  <c r="E77" i="15" s="1"/>
  <c r="D77" i="24"/>
  <c r="D77" i="15" s="1"/>
  <c r="C77" i="24"/>
  <c r="N76" i="24"/>
  <c r="M76" i="24"/>
  <c r="L76" i="24"/>
  <c r="L76" i="15" s="1"/>
  <c r="J76" i="24"/>
  <c r="I76" i="24"/>
  <c r="I76" i="15" s="1"/>
  <c r="H76" i="24"/>
  <c r="H76" i="15" s="1"/>
  <c r="G76" i="24"/>
  <c r="G76" i="15" s="1"/>
  <c r="F76" i="24"/>
  <c r="F76" i="15" s="1"/>
  <c r="E76" i="24"/>
  <c r="E76" i="15" s="1"/>
  <c r="D76" i="24"/>
  <c r="C76" i="24"/>
  <c r="N75" i="24"/>
  <c r="M75" i="24"/>
  <c r="L75" i="24"/>
  <c r="L75" i="15" s="1"/>
  <c r="J75" i="24"/>
  <c r="I75" i="24"/>
  <c r="I75" i="15" s="1"/>
  <c r="H75" i="24"/>
  <c r="H75" i="15" s="1"/>
  <c r="G75" i="24"/>
  <c r="F75" i="24"/>
  <c r="E75" i="24"/>
  <c r="D75" i="24"/>
  <c r="C75" i="24"/>
  <c r="N74" i="24"/>
  <c r="M74" i="24"/>
  <c r="L74" i="24"/>
  <c r="L74" i="15" s="1"/>
  <c r="J74" i="24"/>
  <c r="I74" i="24"/>
  <c r="H74" i="24"/>
  <c r="G74" i="24"/>
  <c r="G74" i="15" s="1"/>
  <c r="F74" i="24"/>
  <c r="F74" i="15" s="1"/>
  <c r="E74" i="24"/>
  <c r="E74" i="15" s="1"/>
  <c r="D74" i="24"/>
  <c r="D74" i="15" s="1"/>
  <c r="C74" i="24"/>
  <c r="C74" i="15" s="1"/>
  <c r="N73" i="24"/>
  <c r="M73" i="24"/>
  <c r="L73" i="24"/>
  <c r="J73" i="24"/>
  <c r="I73" i="24"/>
  <c r="H73" i="24"/>
  <c r="G73" i="24"/>
  <c r="F73" i="24"/>
  <c r="E73" i="24"/>
  <c r="D73" i="24"/>
  <c r="D73" i="15" s="1"/>
  <c r="C73" i="24"/>
  <c r="C73" i="15" s="1"/>
  <c r="N72" i="24"/>
  <c r="M72" i="24"/>
  <c r="L72" i="24"/>
  <c r="L72" i="15" s="1"/>
  <c r="J72" i="24"/>
  <c r="I72" i="24"/>
  <c r="I72" i="15" s="1"/>
  <c r="H72" i="24"/>
  <c r="G72" i="24"/>
  <c r="F72" i="24"/>
  <c r="F72" i="15" s="1"/>
  <c r="E72" i="24"/>
  <c r="E72" i="15" s="1"/>
  <c r="D72" i="24"/>
  <c r="C72" i="24"/>
  <c r="N71" i="24"/>
  <c r="M71" i="24"/>
  <c r="L71" i="24"/>
  <c r="J71" i="24"/>
  <c r="I71" i="24"/>
  <c r="I71" i="15" s="1"/>
  <c r="H71" i="24"/>
  <c r="H71" i="15" s="1"/>
  <c r="G71" i="24"/>
  <c r="F71" i="24"/>
  <c r="F71" i="15" s="1"/>
  <c r="E71" i="24"/>
  <c r="E71" i="15" s="1"/>
  <c r="D71" i="24"/>
  <c r="D71" i="15" s="1"/>
  <c r="C71" i="24"/>
  <c r="N70" i="24"/>
  <c r="M70" i="24"/>
  <c r="L70" i="24"/>
  <c r="L71" i="15" s="1"/>
  <c r="J70" i="24"/>
  <c r="I70" i="24"/>
  <c r="H70" i="24"/>
  <c r="G70" i="24"/>
  <c r="F70" i="24"/>
  <c r="F70" i="15" s="1"/>
  <c r="E70" i="24"/>
  <c r="E70" i="15" s="1"/>
  <c r="D70" i="24"/>
  <c r="C70" i="24"/>
  <c r="N69" i="24"/>
  <c r="M69" i="24"/>
  <c r="L69" i="24"/>
  <c r="J69" i="24"/>
  <c r="I69" i="24"/>
  <c r="H69" i="24"/>
  <c r="G69" i="24"/>
  <c r="F69" i="24"/>
  <c r="E69" i="24"/>
  <c r="D69" i="24"/>
  <c r="D69" i="15" s="1"/>
  <c r="C69" i="24"/>
  <c r="C69" i="15" s="1"/>
  <c r="N68" i="24"/>
  <c r="M68" i="24"/>
  <c r="L68" i="24"/>
  <c r="L69" i="15" s="1"/>
  <c r="J68" i="24"/>
  <c r="I68" i="24"/>
  <c r="I68" i="15" s="1"/>
  <c r="H68" i="24"/>
  <c r="H68" i="15" s="1"/>
  <c r="G68" i="24"/>
  <c r="F68" i="24"/>
  <c r="F68" i="15" s="1"/>
  <c r="E68" i="24"/>
  <c r="E68" i="15" s="1"/>
  <c r="D68" i="24"/>
  <c r="D68" i="15" s="1"/>
  <c r="C68" i="24"/>
  <c r="N67" i="24"/>
  <c r="M67" i="24"/>
  <c r="L67" i="24"/>
  <c r="J67" i="24"/>
  <c r="I67" i="24"/>
  <c r="I67" i="15" s="1"/>
  <c r="H67" i="24"/>
  <c r="H67" i="15" s="1"/>
  <c r="G67" i="24"/>
  <c r="G67" i="15" s="1"/>
  <c r="F67" i="24"/>
  <c r="E67" i="24"/>
  <c r="D67" i="24"/>
  <c r="C67" i="24"/>
  <c r="N66" i="24"/>
  <c r="M66" i="24"/>
  <c r="L66" i="24"/>
  <c r="J66" i="24"/>
  <c r="I66" i="24"/>
  <c r="H66" i="24"/>
  <c r="G66" i="24"/>
  <c r="F66" i="24"/>
  <c r="F66" i="15" s="1"/>
  <c r="E66" i="24"/>
  <c r="E66" i="15" s="1"/>
  <c r="D66" i="24"/>
  <c r="C66" i="24"/>
  <c r="N65" i="24"/>
  <c r="M65" i="24"/>
  <c r="L65" i="24"/>
  <c r="J65" i="24"/>
  <c r="I65" i="24"/>
  <c r="I66" i="15" s="1"/>
  <c r="H65" i="24"/>
  <c r="H65" i="15" s="1"/>
  <c r="G65" i="24"/>
  <c r="G65" i="15" s="1"/>
  <c r="F65" i="24"/>
  <c r="E65" i="24"/>
  <c r="E65" i="15" s="1"/>
  <c r="D65" i="24"/>
  <c r="D65" i="15" s="1"/>
  <c r="C65" i="24"/>
  <c r="C65" i="15" s="1"/>
  <c r="N64" i="24"/>
  <c r="M64" i="24"/>
  <c r="L64" i="24"/>
  <c r="L65" i="15" s="1"/>
  <c r="J64" i="24"/>
  <c r="I64" i="24"/>
  <c r="I64" i="15" s="1"/>
  <c r="H64" i="24"/>
  <c r="G64" i="24"/>
  <c r="F64" i="24"/>
  <c r="F64" i="15" s="1"/>
  <c r="E64" i="24"/>
  <c r="E64" i="15" s="1"/>
  <c r="D64" i="24"/>
  <c r="C64" i="24"/>
  <c r="N63" i="24"/>
  <c r="M63" i="24"/>
  <c r="L63" i="24"/>
  <c r="J63" i="24"/>
  <c r="I63" i="24"/>
  <c r="H63" i="24"/>
  <c r="G63" i="24"/>
  <c r="F63" i="24"/>
  <c r="E63" i="24"/>
  <c r="E63" i="15" s="1"/>
  <c r="D63" i="24"/>
  <c r="C63" i="24"/>
  <c r="N62" i="24"/>
  <c r="M62" i="24"/>
  <c r="L62" i="24"/>
  <c r="L63" i="15" s="1"/>
  <c r="J62" i="24"/>
  <c r="I62" i="24"/>
  <c r="I62" i="15" s="1"/>
  <c r="H62" i="24"/>
  <c r="G62" i="24"/>
  <c r="F62" i="24"/>
  <c r="F63" i="15" s="1"/>
  <c r="E62" i="24"/>
  <c r="D62" i="24"/>
  <c r="C62" i="24"/>
  <c r="N61" i="24"/>
  <c r="M61" i="24"/>
  <c r="L61" i="24"/>
  <c r="J61" i="24"/>
  <c r="I61" i="24"/>
  <c r="H61" i="24"/>
  <c r="H62" i="15" s="1"/>
  <c r="G61" i="24"/>
  <c r="G62" i="15" s="1"/>
  <c r="F61" i="24"/>
  <c r="E61" i="24"/>
  <c r="D61" i="24"/>
  <c r="C61" i="24"/>
  <c r="C62" i="15" s="1"/>
  <c r="N60" i="24"/>
  <c r="M60" i="24"/>
  <c r="L60" i="24"/>
  <c r="J60" i="24"/>
  <c r="I60" i="24"/>
  <c r="H60" i="24"/>
  <c r="G60" i="24"/>
  <c r="F60" i="24"/>
  <c r="E60" i="24"/>
  <c r="D60" i="24"/>
  <c r="D60" i="15" s="1"/>
  <c r="C60" i="24"/>
  <c r="N59" i="24"/>
  <c r="M59" i="24"/>
  <c r="L59" i="24"/>
  <c r="J59" i="24"/>
  <c r="I59" i="24"/>
  <c r="I60" i="15" s="1"/>
  <c r="H59" i="24"/>
  <c r="H60" i="15" s="1"/>
  <c r="G59" i="24"/>
  <c r="G60" i="15" s="1"/>
  <c r="F59" i="24"/>
  <c r="E59" i="24"/>
  <c r="D59" i="24"/>
  <c r="C59" i="24"/>
  <c r="N58" i="24"/>
  <c r="M58" i="24"/>
  <c r="L58" i="24"/>
  <c r="L59" i="15" s="1"/>
  <c r="J58" i="24"/>
  <c r="I58" i="24"/>
  <c r="H58" i="24"/>
  <c r="G58" i="24"/>
  <c r="F58" i="24"/>
  <c r="F58" i="15" s="1"/>
  <c r="E58" i="24"/>
  <c r="E59" i="15" s="1"/>
  <c r="D58" i="24"/>
  <c r="C58" i="24"/>
  <c r="N57" i="24"/>
  <c r="M57" i="24"/>
  <c r="L57" i="24"/>
  <c r="J57" i="24"/>
  <c r="I57" i="24"/>
  <c r="H57" i="24"/>
  <c r="G57" i="24"/>
  <c r="G58" i="15" s="1"/>
  <c r="F57" i="24"/>
  <c r="E57" i="24"/>
  <c r="E57" i="15" s="1"/>
  <c r="D57" i="24"/>
  <c r="C57" i="24"/>
  <c r="C58" i="15" s="1"/>
  <c r="N56" i="24"/>
  <c r="M56" i="24"/>
  <c r="L56" i="24"/>
  <c r="L56" i="15" s="1"/>
  <c r="J56" i="24"/>
  <c r="I56" i="24"/>
  <c r="H56" i="24"/>
  <c r="G56" i="24"/>
  <c r="F56" i="24"/>
  <c r="E56" i="24"/>
  <c r="D56" i="24"/>
  <c r="C56" i="24"/>
  <c r="N55" i="24"/>
  <c r="M55" i="24"/>
  <c r="L55" i="24"/>
  <c r="L55" i="15" s="1"/>
  <c r="J55" i="24"/>
  <c r="I55" i="24"/>
  <c r="I56" i="15" s="1"/>
  <c r="H55" i="24"/>
  <c r="H56" i="15" s="1"/>
  <c r="G55" i="24"/>
  <c r="G56" i="15" s="1"/>
  <c r="F55" i="24"/>
  <c r="E55" i="24"/>
  <c r="D55" i="24"/>
  <c r="D55" i="15" s="1"/>
  <c r="C55" i="24"/>
  <c r="N54" i="24"/>
  <c r="M54" i="24"/>
  <c r="L54" i="24"/>
  <c r="J54" i="24"/>
  <c r="I54" i="24"/>
  <c r="H54" i="24"/>
  <c r="G54" i="24"/>
  <c r="F54" i="24"/>
  <c r="E54" i="24"/>
  <c r="E55" i="15" s="1"/>
  <c r="D54" i="24"/>
  <c r="C54" i="24"/>
  <c r="N53" i="24"/>
  <c r="M53" i="24"/>
  <c r="L53" i="24"/>
  <c r="J53" i="24"/>
  <c r="I53" i="24"/>
  <c r="I53" i="15" s="1"/>
  <c r="H53" i="24"/>
  <c r="H54" i="15" s="1"/>
  <c r="G53" i="24"/>
  <c r="G54" i="15" s="1"/>
  <c r="F53" i="24"/>
  <c r="F53" i="15" s="1"/>
  <c r="E53" i="24"/>
  <c r="D53" i="24"/>
  <c r="D54" i="15" s="1"/>
  <c r="C53" i="24"/>
  <c r="C54" i="15" s="1"/>
  <c r="N52" i="24"/>
  <c r="M52" i="24"/>
  <c r="L52" i="24"/>
  <c r="L52" i="15" s="1"/>
  <c r="J52" i="24"/>
  <c r="I52" i="24"/>
  <c r="H52" i="24"/>
  <c r="G52" i="24"/>
  <c r="F52" i="24"/>
  <c r="E52" i="24"/>
  <c r="D52" i="24"/>
  <c r="C52" i="24"/>
  <c r="N51" i="24"/>
  <c r="M51" i="24"/>
  <c r="L51" i="24"/>
  <c r="L51" i="15" s="1"/>
  <c r="J51" i="24"/>
  <c r="I51" i="24"/>
  <c r="I52" i="15" s="1"/>
  <c r="H51" i="24"/>
  <c r="H52" i="15" s="1"/>
  <c r="G51" i="24"/>
  <c r="G52" i="15" s="1"/>
  <c r="F51" i="24"/>
  <c r="E51" i="24"/>
  <c r="E51" i="15" s="1"/>
  <c r="D51" i="24"/>
  <c r="D51" i="15" s="1"/>
  <c r="C51" i="24"/>
  <c r="C52" i="15" s="1"/>
  <c r="N50" i="24"/>
  <c r="N50" i="15" s="1"/>
  <c r="M50" i="24"/>
  <c r="M50" i="15" s="1"/>
  <c r="L50" i="24"/>
  <c r="L50" i="15" s="1"/>
  <c r="J50" i="24"/>
  <c r="I50" i="24"/>
  <c r="I50" i="15" s="1"/>
  <c r="H50" i="24"/>
  <c r="G50" i="24"/>
  <c r="F50" i="24"/>
  <c r="F51" i="15" s="1"/>
  <c r="E50" i="24"/>
  <c r="E50" i="15" s="1"/>
  <c r="D50" i="24"/>
  <c r="C50" i="24"/>
  <c r="H50" i="15"/>
  <c r="G50" i="15"/>
  <c r="D50" i="15"/>
  <c r="C50" i="15"/>
  <c r="N49" i="24"/>
  <c r="N49" i="15" s="1"/>
  <c r="M49" i="24"/>
  <c r="M49" i="15" s="1"/>
  <c r="L49" i="24"/>
  <c r="L49" i="15" s="1"/>
  <c r="J49" i="24"/>
  <c r="J49" i="15" s="1"/>
  <c r="I49" i="24"/>
  <c r="I49" i="15" s="1"/>
  <c r="H49" i="24"/>
  <c r="H49" i="15" s="1"/>
  <c r="G49" i="24"/>
  <c r="G49" i="15" s="1"/>
  <c r="F49" i="24"/>
  <c r="F49" i="15" s="1"/>
  <c r="E49" i="24"/>
  <c r="E49" i="15" s="1"/>
  <c r="D49" i="24"/>
  <c r="D49" i="15" s="1"/>
  <c r="C49" i="24"/>
  <c r="C49" i="15" s="1"/>
  <c r="N48" i="24"/>
  <c r="N48" i="15" s="1"/>
  <c r="M48" i="24"/>
  <c r="M48" i="15" s="1"/>
  <c r="L48" i="24"/>
  <c r="J48" i="24"/>
  <c r="J48" i="15" s="1"/>
  <c r="I48" i="24"/>
  <c r="I48" i="15" s="1"/>
  <c r="H48" i="24"/>
  <c r="H48" i="15" s="1"/>
  <c r="G48" i="24"/>
  <c r="G48" i="15" s="1"/>
  <c r="F48" i="24"/>
  <c r="F48" i="15" s="1"/>
  <c r="E48" i="24"/>
  <c r="E48" i="15" s="1"/>
  <c r="D48" i="24"/>
  <c r="D48" i="15" s="1"/>
  <c r="C48" i="24"/>
  <c r="N47" i="24"/>
  <c r="N47" i="15" s="1"/>
  <c r="M47" i="24"/>
  <c r="M47" i="15" s="1"/>
  <c r="L47" i="24"/>
  <c r="L47" i="15" s="1"/>
  <c r="J47" i="24"/>
  <c r="J47" i="15" s="1"/>
  <c r="I47" i="24"/>
  <c r="I47" i="15" s="1"/>
  <c r="H47" i="24"/>
  <c r="H47" i="15" s="1"/>
  <c r="G47" i="24"/>
  <c r="G47" i="15" s="1"/>
  <c r="F47" i="24"/>
  <c r="E47" i="24"/>
  <c r="E47" i="15" s="1"/>
  <c r="D47" i="24"/>
  <c r="D47" i="15" s="1"/>
  <c r="C47" i="24"/>
  <c r="C47" i="15" s="1"/>
  <c r="N46" i="24"/>
  <c r="N46" i="15" s="1"/>
  <c r="M46" i="24"/>
  <c r="M46" i="15" s="1"/>
  <c r="L46" i="24"/>
  <c r="J46" i="24"/>
  <c r="J46" i="15" s="1"/>
  <c r="I46" i="24"/>
  <c r="I46" i="15" s="1"/>
  <c r="H46" i="24"/>
  <c r="H46" i="15" s="1"/>
  <c r="G46" i="24"/>
  <c r="G46" i="15" s="1"/>
  <c r="F46" i="24"/>
  <c r="F46" i="15" s="1"/>
  <c r="E46" i="24"/>
  <c r="E46" i="15" s="1"/>
  <c r="D46" i="24"/>
  <c r="D46" i="15" s="1"/>
  <c r="C46" i="24"/>
  <c r="C46" i="15" s="1"/>
  <c r="N45" i="24"/>
  <c r="N45" i="15" s="1"/>
  <c r="M45" i="24"/>
  <c r="M45" i="15" s="1"/>
  <c r="L45" i="24"/>
  <c r="L45" i="15" s="1"/>
  <c r="J45" i="24"/>
  <c r="J45" i="15" s="1"/>
  <c r="I45" i="24"/>
  <c r="I45" i="15" s="1"/>
  <c r="H45" i="24"/>
  <c r="H45" i="15" s="1"/>
  <c r="G45" i="24"/>
  <c r="G45" i="15" s="1"/>
  <c r="F45" i="24"/>
  <c r="F45" i="15" s="1"/>
  <c r="E45" i="24"/>
  <c r="D45" i="24"/>
  <c r="C45" i="24"/>
  <c r="C45" i="15" s="1"/>
  <c r="N44" i="24"/>
  <c r="N44" i="15" s="1"/>
  <c r="M44" i="24"/>
  <c r="M44" i="15" s="1"/>
  <c r="L44" i="24"/>
  <c r="J44" i="24"/>
  <c r="J44" i="15" s="1"/>
  <c r="I44" i="24"/>
  <c r="I44" i="15" s="1"/>
  <c r="H44" i="24"/>
  <c r="H44" i="15" s="1"/>
  <c r="G44" i="24"/>
  <c r="G44" i="15" s="1"/>
  <c r="F44" i="24"/>
  <c r="E44" i="24"/>
  <c r="E44" i="15" s="1"/>
  <c r="D44" i="24"/>
  <c r="D44" i="15" s="1"/>
  <c r="C44" i="24"/>
  <c r="C44" i="15" s="1"/>
  <c r="N43" i="24"/>
  <c r="N43" i="15" s="1"/>
  <c r="M43" i="24"/>
  <c r="M43" i="15" s="1"/>
  <c r="L43" i="24"/>
  <c r="L43" i="15" s="1"/>
  <c r="J43" i="24"/>
  <c r="J43" i="15" s="1"/>
  <c r="I43" i="24"/>
  <c r="I43" i="15" s="1"/>
  <c r="H43" i="24"/>
  <c r="H43" i="15" s="1"/>
  <c r="G43" i="24"/>
  <c r="G43" i="15" s="1"/>
  <c r="F43" i="24"/>
  <c r="F43" i="15" s="1"/>
  <c r="E43" i="24"/>
  <c r="D43" i="24"/>
  <c r="D43" i="15" s="1"/>
  <c r="C43" i="24"/>
  <c r="C43" i="15" s="1"/>
  <c r="N42" i="24"/>
  <c r="N42" i="15" s="1"/>
  <c r="M42" i="24"/>
  <c r="M42" i="15" s="1"/>
  <c r="L42" i="24"/>
  <c r="J42" i="24"/>
  <c r="J42" i="15" s="1"/>
  <c r="I42" i="24"/>
  <c r="I42" i="15" s="1"/>
  <c r="H42" i="24"/>
  <c r="H42" i="15" s="1"/>
  <c r="G42" i="24"/>
  <c r="F42" i="24"/>
  <c r="E42" i="24"/>
  <c r="E42" i="15" s="1"/>
  <c r="D42" i="24"/>
  <c r="D42" i="15" s="1"/>
  <c r="C42" i="24"/>
  <c r="C42" i="15" s="1"/>
  <c r="N41" i="24"/>
  <c r="N41" i="15" s="1"/>
  <c r="M41" i="24"/>
  <c r="M41" i="15" s="1"/>
  <c r="L41" i="24"/>
  <c r="L41" i="15" s="1"/>
  <c r="J41" i="24"/>
  <c r="J41" i="15" s="1"/>
  <c r="I41" i="24"/>
  <c r="I41" i="15" s="1"/>
  <c r="H41" i="24"/>
  <c r="H41" i="15" s="1"/>
  <c r="G41" i="24"/>
  <c r="G41" i="15" s="1"/>
  <c r="F41" i="24"/>
  <c r="F41" i="15" s="1"/>
  <c r="E41" i="24"/>
  <c r="E41" i="15" s="1"/>
  <c r="D41" i="24"/>
  <c r="D41" i="15" s="1"/>
  <c r="C41" i="24"/>
  <c r="C41" i="15" s="1"/>
  <c r="N40" i="24"/>
  <c r="N40" i="15" s="1"/>
  <c r="M40" i="24"/>
  <c r="M40" i="15" s="1"/>
  <c r="L40" i="24"/>
  <c r="J40" i="24"/>
  <c r="J40" i="15" s="1"/>
  <c r="I40" i="24"/>
  <c r="I40" i="15" s="1"/>
  <c r="H40" i="24"/>
  <c r="H40" i="15" s="1"/>
  <c r="G40" i="24"/>
  <c r="G40" i="15" s="1"/>
  <c r="F40" i="24"/>
  <c r="F40" i="15" s="1"/>
  <c r="E40" i="24"/>
  <c r="E40" i="15" s="1"/>
  <c r="D40" i="24"/>
  <c r="D40" i="15" s="1"/>
  <c r="C40" i="24"/>
  <c r="C40" i="15" s="1"/>
  <c r="N39" i="24"/>
  <c r="N39" i="15" s="1"/>
  <c r="M39" i="24"/>
  <c r="M39" i="15" s="1"/>
  <c r="L39" i="24"/>
  <c r="L39" i="15" s="1"/>
  <c r="J39" i="24"/>
  <c r="J39" i="15" s="1"/>
  <c r="I39" i="24"/>
  <c r="I39" i="15" s="1"/>
  <c r="H39" i="24"/>
  <c r="H39" i="15" s="1"/>
  <c r="G39" i="24"/>
  <c r="G39" i="15" s="1"/>
  <c r="F39" i="24"/>
  <c r="E39" i="24"/>
  <c r="D39" i="24"/>
  <c r="C39" i="24"/>
  <c r="N38" i="24"/>
  <c r="N38" i="15" s="1"/>
  <c r="M38" i="24"/>
  <c r="M38" i="15" s="1"/>
  <c r="L38" i="24"/>
  <c r="J38" i="24"/>
  <c r="J38" i="15" s="1"/>
  <c r="I38" i="24"/>
  <c r="I38" i="15" s="1"/>
  <c r="H38" i="24"/>
  <c r="H38" i="15" s="1"/>
  <c r="G38" i="24"/>
  <c r="G38" i="15" s="1"/>
  <c r="F38" i="24"/>
  <c r="E38" i="24"/>
  <c r="E38" i="15" s="1"/>
  <c r="D38" i="24"/>
  <c r="D38" i="15" s="1"/>
  <c r="C38" i="24"/>
  <c r="C38" i="15" s="1"/>
  <c r="N37" i="24"/>
  <c r="N37" i="15" s="1"/>
  <c r="M37" i="24"/>
  <c r="M37" i="15" s="1"/>
  <c r="L37" i="24"/>
  <c r="L37" i="15" s="1"/>
  <c r="J37" i="24"/>
  <c r="J37" i="15" s="1"/>
  <c r="I37" i="24"/>
  <c r="I37" i="15" s="1"/>
  <c r="H37" i="24"/>
  <c r="H37" i="15" s="1"/>
  <c r="G37" i="24"/>
  <c r="G37" i="15" s="1"/>
  <c r="F37" i="24"/>
  <c r="F37" i="15" s="1"/>
  <c r="E37" i="24"/>
  <c r="D37" i="24"/>
  <c r="D37" i="15" s="1"/>
  <c r="C37" i="24"/>
  <c r="C37" i="15" s="1"/>
  <c r="N36" i="24"/>
  <c r="N36" i="15" s="1"/>
  <c r="M36" i="24"/>
  <c r="M36" i="15" s="1"/>
  <c r="L36" i="24"/>
  <c r="L36" i="15" s="1"/>
  <c r="J36" i="24"/>
  <c r="J36" i="15" s="1"/>
  <c r="I36" i="24"/>
  <c r="I36" i="15" s="1"/>
  <c r="H36" i="24"/>
  <c r="G36" i="24"/>
  <c r="G36" i="15" s="1"/>
  <c r="F36" i="24"/>
  <c r="F36" i="15" s="1"/>
  <c r="E36" i="24"/>
  <c r="E36" i="15" s="1"/>
  <c r="D36" i="24"/>
  <c r="D36" i="15" s="1"/>
  <c r="C36" i="24"/>
  <c r="C36" i="15" s="1"/>
  <c r="N35" i="24"/>
  <c r="N35" i="15" s="1"/>
  <c r="M35" i="24"/>
  <c r="M35" i="15" s="1"/>
  <c r="L35" i="24"/>
  <c r="L35" i="15" s="1"/>
  <c r="J35" i="24"/>
  <c r="J35" i="15" s="1"/>
  <c r="I35" i="24"/>
  <c r="I35" i="15" s="1"/>
  <c r="H35" i="24"/>
  <c r="H35" i="15" s="1"/>
  <c r="G35" i="24"/>
  <c r="G35" i="15" s="1"/>
  <c r="F35" i="24"/>
  <c r="F35" i="15" s="1"/>
  <c r="E35" i="24"/>
  <c r="D35" i="24"/>
  <c r="D35" i="15" s="1"/>
  <c r="C35" i="24"/>
  <c r="C35" i="15" s="1"/>
  <c r="N34" i="24"/>
  <c r="N34" i="15" s="1"/>
  <c r="M34" i="24"/>
  <c r="M34" i="15" s="1"/>
  <c r="L34" i="24"/>
  <c r="L34" i="15" s="1"/>
  <c r="J34" i="24"/>
  <c r="J34" i="15" s="1"/>
  <c r="I34" i="24"/>
  <c r="I34" i="15" s="1"/>
  <c r="H34" i="24"/>
  <c r="H34" i="15" s="1"/>
  <c r="G34" i="24"/>
  <c r="G34" i="15" s="1"/>
  <c r="F34" i="24"/>
  <c r="F34" i="15" s="1"/>
  <c r="E34" i="24"/>
  <c r="E34" i="15" s="1"/>
  <c r="D34" i="24"/>
  <c r="D34" i="15" s="1"/>
  <c r="C34" i="24"/>
  <c r="C34" i="15" s="1"/>
  <c r="N33" i="24"/>
  <c r="N33" i="15" s="1"/>
  <c r="M33" i="24"/>
  <c r="L33" i="24"/>
  <c r="J33" i="24"/>
  <c r="J33" i="15" s="1"/>
  <c r="I33" i="24"/>
  <c r="I33" i="15" s="1"/>
  <c r="H33" i="24"/>
  <c r="H33" i="15" s="1"/>
  <c r="G33" i="24"/>
  <c r="G33" i="15" s="1"/>
  <c r="F33" i="24"/>
  <c r="F33" i="15" s="1"/>
  <c r="E33" i="24"/>
  <c r="E33" i="15" s="1"/>
  <c r="D33" i="24"/>
  <c r="C33" i="24"/>
  <c r="C33" i="15" s="1"/>
  <c r="N32" i="24"/>
  <c r="N32" i="15" s="1"/>
  <c r="M32" i="24"/>
  <c r="M32" i="15" s="1"/>
  <c r="L32" i="24"/>
  <c r="J32" i="24"/>
  <c r="J32" i="15" s="1"/>
  <c r="I32" i="24"/>
  <c r="I32" i="15" s="1"/>
  <c r="H32" i="24"/>
  <c r="G32" i="24"/>
  <c r="G32" i="15" s="1"/>
  <c r="F32" i="24"/>
  <c r="F32" i="15" s="1"/>
  <c r="E32" i="24"/>
  <c r="E32" i="15" s="1"/>
  <c r="D32" i="24"/>
  <c r="D32" i="15" s="1"/>
  <c r="C32" i="24"/>
  <c r="C32" i="15" s="1"/>
  <c r="N31" i="24"/>
  <c r="N31" i="15" s="1"/>
  <c r="M31" i="24"/>
  <c r="M31" i="15" s="1"/>
  <c r="L31" i="24"/>
  <c r="L31" i="15" s="1"/>
  <c r="J31" i="24"/>
  <c r="J31" i="15" s="1"/>
  <c r="I31" i="24"/>
  <c r="I31" i="15" s="1"/>
  <c r="H31" i="24"/>
  <c r="H31" i="15" s="1"/>
  <c r="G31" i="24"/>
  <c r="G31" i="15" s="1"/>
  <c r="F31" i="24"/>
  <c r="F31" i="15" s="1"/>
  <c r="E31" i="24"/>
  <c r="D31" i="24"/>
  <c r="C31" i="24"/>
  <c r="N30" i="24"/>
  <c r="N30" i="15" s="1"/>
  <c r="M30" i="24"/>
  <c r="M30" i="15" s="1"/>
  <c r="L30" i="24"/>
  <c r="J30" i="24"/>
  <c r="J30" i="15" s="1"/>
  <c r="I30" i="24"/>
  <c r="I30" i="15" s="1"/>
  <c r="H30" i="24"/>
  <c r="H30" i="15" s="1"/>
  <c r="G30" i="24"/>
  <c r="G30" i="15" s="1"/>
  <c r="F30" i="24"/>
  <c r="E30" i="24"/>
  <c r="E30" i="15" s="1"/>
  <c r="D30" i="24"/>
  <c r="D30" i="15" s="1"/>
  <c r="C30" i="24"/>
  <c r="C30" i="15" s="1"/>
  <c r="N29" i="24"/>
  <c r="N29" i="15" s="1"/>
  <c r="M29" i="24"/>
  <c r="M29" i="15" s="1"/>
  <c r="L29" i="24"/>
  <c r="L29" i="15" s="1"/>
  <c r="J29" i="24"/>
  <c r="J29" i="15" s="1"/>
  <c r="I29" i="24"/>
  <c r="I29" i="15" s="1"/>
  <c r="H29" i="24"/>
  <c r="H29" i="15" s="1"/>
  <c r="G29" i="24"/>
  <c r="G29" i="15" s="1"/>
  <c r="F29" i="24"/>
  <c r="F29" i="15" s="1"/>
  <c r="E29" i="24"/>
  <c r="E29" i="15" s="1"/>
  <c r="D29" i="24"/>
  <c r="D29" i="15" s="1"/>
  <c r="C29" i="24"/>
  <c r="C29" i="15" s="1"/>
  <c r="N28" i="24"/>
  <c r="N28" i="15" s="1"/>
  <c r="M28" i="24"/>
  <c r="M28" i="15" s="1"/>
  <c r="L28" i="24"/>
  <c r="L28" i="15" s="1"/>
  <c r="J28" i="24"/>
  <c r="J28" i="15" s="1"/>
  <c r="I28" i="24"/>
  <c r="I28" i="15" s="1"/>
  <c r="H28" i="24"/>
  <c r="H28" i="15" s="1"/>
  <c r="G28" i="24"/>
  <c r="G28" i="15" s="1"/>
  <c r="F28" i="24"/>
  <c r="F28" i="15" s="1"/>
  <c r="E28" i="24"/>
  <c r="D28" i="24"/>
  <c r="D28" i="15" s="1"/>
  <c r="C28" i="24"/>
  <c r="C28" i="15" s="1"/>
  <c r="N27" i="24"/>
  <c r="N27" i="15" s="1"/>
  <c r="M27" i="24"/>
  <c r="M27" i="15" s="1"/>
  <c r="L27" i="24"/>
  <c r="L27" i="15" s="1"/>
  <c r="J27" i="24"/>
  <c r="J27" i="15" s="1"/>
  <c r="I27" i="24"/>
  <c r="I27" i="15" s="1"/>
  <c r="H27" i="24"/>
  <c r="H27" i="15" s="1"/>
  <c r="G27" i="24"/>
  <c r="G27" i="15" s="1"/>
  <c r="F27" i="24"/>
  <c r="F27" i="15" s="1"/>
  <c r="E27" i="24"/>
  <c r="E27" i="15" s="1"/>
  <c r="D27" i="24"/>
  <c r="D27" i="15" s="1"/>
  <c r="C27" i="24"/>
  <c r="C27" i="15" s="1"/>
  <c r="N26" i="24"/>
  <c r="N26" i="15" s="1"/>
  <c r="M26" i="24"/>
  <c r="M26" i="15" s="1"/>
  <c r="L26" i="24"/>
  <c r="J26" i="24"/>
  <c r="J26" i="15" s="1"/>
  <c r="I26" i="24"/>
  <c r="I26" i="15" s="1"/>
  <c r="H26" i="24"/>
  <c r="G26" i="24"/>
  <c r="G26" i="15" s="1"/>
  <c r="F26" i="24"/>
  <c r="F26" i="15" s="1"/>
  <c r="E26" i="24"/>
  <c r="E26" i="15" s="1"/>
  <c r="D26" i="24"/>
  <c r="D26" i="15" s="1"/>
  <c r="C26" i="24"/>
  <c r="C26" i="15" s="1"/>
  <c r="N25" i="24"/>
  <c r="N25" i="15" s="1"/>
  <c r="M25" i="24"/>
  <c r="M25" i="15" s="1"/>
  <c r="L25" i="24"/>
  <c r="L25" i="15" s="1"/>
  <c r="J25" i="24"/>
  <c r="J25" i="15" s="1"/>
  <c r="I25" i="24"/>
  <c r="I25" i="15" s="1"/>
  <c r="H25" i="24"/>
  <c r="H25" i="15" s="1"/>
  <c r="G25" i="24"/>
  <c r="G25" i="15" s="1"/>
  <c r="F25" i="24"/>
  <c r="F25" i="15" s="1"/>
  <c r="E25" i="24"/>
  <c r="E25" i="15" s="1"/>
  <c r="D25" i="24"/>
  <c r="D25" i="15" s="1"/>
  <c r="C25" i="24"/>
  <c r="C25" i="15" s="1"/>
  <c r="N24" i="24"/>
  <c r="N24" i="15" s="1"/>
  <c r="M24" i="24"/>
  <c r="M24" i="15" s="1"/>
  <c r="L24" i="24"/>
  <c r="J24" i="24"/>
  <c r="J24" i="15" s="1"/>
  <c r="I24" i="24"/>
  <c r="I24" i="15" s="1"/>
  <c r="H24" i="24"/>
  <c r="H24" i="15" s="1"/>
  <c r="G24" i="24"/>
  <c r="G24" i="15" s="1"/>
  <c r="F24" i="24"/>
  <c r="F24" i="15" s="1"/>
  <c r="E24" i="24"/>
  <c r="E24" i="15" s="1"/>
  <c r="D24" i="24"/>
  <c r="D24" i="15" s="1"/>
  <c r="C24" i="24"/>
  <c r="C24" i="15" s="1"/>
  <c r="N23" i="24"/>
  <c r="N23" i="15" s="1"/>
  <c r="M23" i="24"/>
  <c r="M23" i="15" s="1"/>
  <c r="L23" i="24"/>
  <c r="L23" i="15" s="1"/>
  <c r="J23" i="24"/>
  <c r="J23" i="15" s="1"/>
  <c r="I23" i="24"/>
  <c r="I23" i="15" s="1"/>
  <c r="H23" i="24"/>
  <c r="H23" i="15" s="1"/>
  <c r="G23" i="24"/>
  <c r="G23" i="15" s="1"/>
  <c r="F23" i="24"/>
  <c r="F23" i="15" s="1"/>
  <c r="E23" i="24"/>
  <c r="E23" i="15" s="1"/>
  <c r="D23" i="24"/>
  <c r="D23" i="15" s="1"/>
  <c r="C23" i="24"/>
  <c r="C23" i="15" s="1"/>
  <c r="N22" i="24"/>
  <c r="N22" i="15" s="1"/>
  <c r="M22" i="24"/>
  <c r="M22" i="15" s="1"/>
  <c r="L22" i="24"/>
  <c r="L22" i="15" s="1"/>
  <c r="J22" i="24"/>
  <c r="J22" i="15" s="1"/>
  <c r="I22" i="24"/>
  <c r="I22" i="15" s="1"/>
  <c r="H22" i="24"/>
  <c r="H22" i="15" s="1"/>
  <c r="G22" i="24"/>
  <c r="G22" i="15" s="1"/>
  <c r="F22" i="24"/>
  <c r="F22" i="15" s="1"/>
  <c r="E22" i="24"/>
  <c r="E22" i="15" s="1"/>
  <c r="D22" i="24"/>
  <c r="D22" i="15" s="1"/>
  <c r="C22" i="24"/>
  <c r="N21" i="24"/>
  <c r="N21" i="15" s="1"/>
  <c r="M21" i="24"/>
  <c r="M21" i="15" s="1"/>
  <c r="L21" i="24"/>
  <c r="L21" i="15" s="1"/>
  <c r="J21" i="24"/>
  <c r="J21" i="15" s="1"/>
  <c r="I21" i="24"/>
  <c r="I21" i="15" s="1"/>
  <c r="H21" i="24"/>
  <c r="H21" i="15" s="1"/>
  <c r="G21" i="24"/>
  <c r="G21" i="15" s="1"/>
  <c r="F21" i="24"/>
  <c r="F21" i="15" s="1"/>
  <c r="E21" i="24"/>
  <c r="E21" i="15" s="1"/>
  <c r="D21" i="24"/>
  <c r="D21" i="15" s="1"/>
  <c r="C21" i="24"/>
  <c r="N20" i="24"/>
  <c r="N20" i="15" s="1"/>
  <c r="M20" i="24"/>
  <c r="M20" i="15" s="1"/>
  <c r="L20" i="24"/>
  <c r="L20" i="15" s="1"/>
  <c r="J20" i="24"/>
  <c r="J20" i="15" s="1"/>
  <c r="I20" i="24"/>
  <c r="I20" i="15" s="1"/>
  <c r="H20" i="24"/>
  <c r="H20" i="15" s="1"/>
  <c r="G20" i="24"/>
  <c r="G20" i="15" s="1"/>
  <c r="F20" i="24"/>
  <c r="F20" i="15" s="1"/>
  <c r="E20" i="24"/>
  <c r="E20" i="15" s="1"/>
  <c r="D20" i="24"/>
  <c r="C20" i="24"/>
  <c r="C20" i="15" s="1"/>
  <c r="N19" i="24"/>
  <c r="N19" i="15" s="1"/>
  <c r="M19" i="24"/>
  <c r="M19" i="15" s="1"/>
  <c r="L19" i="24"/>
  <c r="L19" i="15" s="1"/>
  <c r="J19" i="24"/>
  <c r="J19" i="15" s="1"/>
  <c r="I19" i="24"/>
  <c r="I19" i="15" s="1"/>
  <c r="H19" i="24"/>
  <c r="H19" i="15" s="1"/>
  <c r="G19" i="24"/>
  <c r="G19" i="15" s="1"/>
  <c r="F19" i="24"/>
  <c r="F19" i="15" s="1"/>
  <c r="E19" i="24"/>
  <c r="D19" i="24"/>
  <c r="D19" i="15" s="1"/>
  <c r="C19" i="24"/>
  <c r="C19" i="15" s="1"/>
  <c r="N18" i="24"/>
  <c r="N18" i="15" s="1"/>
  <c r="M18" i="24"/>
  <c r="M18" i="15" s="1"/>
  <c r="L18" i="24"/>
  <c r="L18" i="15" s="1"/>
  <c r="J18" i="24"/>
  <c r="J18" i="15" s="1"/>
  <c r="I18" i="24"/>
  <c r="I18" i="15" s="1"/>
  <c r="H18" i="24"/>
  <c r="H18" i="15" s="1"/>
  <c r="G18" i="24"/>
  <c r="G18" i="15" s="1"/>
  <c r="F18" i="24"/>
  <c r="F18" i="15" s="1"/>
  <c r="E18" i="24"/>
  <c r="E18" i="15" s="1"/>
  <c r="D18" i="24"/>
  <c r="D18" i="15" s="1"/>
  <c r="C18" i="24"/>
  <c r="C18" i="15" s="1"/>
  <c r="N17" i="24"/>
  <c r="N17" i="15" s="1"/>
  <c r="M17" i="24"/>
  <c r="M17" i="15" s="1"/>
  <c r="L17" i="24"/>
  <c r="L17" i="15" s="1"/>
  <c r="J17" i="24"/>
  <c r="J17" i="15" s="1"/>
  <c r="I17" i="24"/>
  <c r="I17" i="15" s="1"/>
  <c r="H17" i="24"/>
  <c r="H17" i="15" s="1"/>
  <c r="G17" i="24"/>
  <c r="G17" i="15" s="1"/>
  <c r="F17" i="24"/>
  <c r="F17" i="15" s="1"/>
  <c r="E17" i="24"/>
  <c r="E17" i="15" s="1"/>
  <c r="D17" i="24"/>
  <c r="D17" i="15" s="1"/>
  <c r="C17" i="24"/>
  <c r="C17" i="15" s="1"/>
  <c r="N16" i="24"/>
  <c r="N16" i="15" s="1"/>
  <c r="M16" i="24"/>
  <c r="M16" i="15" s="1"/>
  <c r="L16" i="24"/>
  <c r="L16" i="15" s="1"/>
  <c r="J16" i="24"/>
  <c r="J16" i="15" s="1"/>
  <c r="I16" i="24"/>
  <c r="I16" i="15" s="1"/>
  <c r="H16" i="24"/>
  <c r="G16" i="24"/>
  <c r="G16" i="15" s="1"/>
  <c r="F16" i="24"/>
  <c r="E16" i="24"/>
  <c r="D16" i="24"/>
  <c r="C16" i="24"/>
  <c r="C16" i="15" s="1"/>
  <c r="N15" i="24"/>
  <c r="M15" i="24"/>
  <c r="M15" i="15" s="1"/>
  <c r="L15" i="24"/>
  <c r="L15" i="15" s="1"/>
  <c r="J15" i="24"/>
  <c r="J15" i="15" s="1"/>
  <c r="I15" i="24"/>
  <c r="I15" i="15" s="1"/>
  <c r="H15" i="24"/>
  <c r="H15" i="15" s="1"/>
  <c r="G15" i="24"/>
  <c r="G15" i="15" s="1"/>
  <c r="F15" i="24"/>
  <c r="F15" i="15" s="1"/>
  <c r="E15" i="24"/>
  <c r="E15" i="15" s="1"/>
  <c r="D15" i="24"/>
  <c r="D15" i="15" s="1"/>
  <c r="C15" i="24"/>
  <c r="C15" i="15" s="1"/>
  <c r="N14" i="24"/>
  <c r="N14" i="15" s="1"/>
  <c r="M14" i="24"/>
  <c r="M14" i="15" s="1"/>
  <c r="L14" i="24"/>
  <c r="L14" i="15" s="1"/>
  <c r="J14" i="24"/>
  <c r="J14" i="15" s="1"/>
  <c r="I14" i="24"/>
  <c r="I14" i="15" s="1"/>
  <c r="H14" i="24"/>
  <c r="H14" i="15" s="1"/>
  <c r="G14" i="24"/>
  <c r="G14" i="15" s="1"/>
  <c r="F14" i="24"/>
  <c r="F14" i="15" s="1"/>
  <c r="E14" i="24"/>
  <c r="E14" i="15" s="1"/>
  <c r="D14" i="24"/>
  <c r="D14" i="15" s="1"/>
  <c r="C14" i="24"/>
  <c r="C14" i="15" s="1"/>
  <c r="N13" i="24"/>
  <c r="N13" i="15" s="1"/>
  <c r="M13" i="24"/>
  <c r="M13" i="15" s="1"/>
  <c r="L13" i="24"/>
  <c r="J13" i="24"/>
  <c r="J13" i="15" s="1"/>
  <c r="I13" i="24"/>
  <c r="I13" i="15" s="1"/>
  <c r="H13" i="24"/>
  <c r="H13" i="15" s="1"/>
  <c r="G13" i="24"/>
  <c r="G13" i="15" s="1"/>
  <c r="F13" i="24"/>
  <c r="F13" i="15" s="1"/>
  <c r="E13" i="24"/>
  <c r="E13" i="15" s="1"/>
  <c r="D13" i="24"/>
  <c r="C13" i="24"/>
  <c r="C13" i="15" s="1"/>
  <c r="N12" i="24"/>
  <c r="N12" i="15" s="1"/>
  <c r="M12" i="24"/>
  <c r="M12" i="15" s="1"/>
  <c r="L12" i="24"/>
  <c r="L12" i="15" s="1"/>
  <c r="J12" i="24"/>
  <c r="J12" i="15" s="1"/>
  <c r="I12" i="24"/>
  <c r="I12" i="15" s="1"/>
  <c r="H12" i="24"/>
  <c r="H12" i="15" s="1"/>
  <c r="G12" i="24"/>
  <c r="G12" i="15" s="1"/>
  <c r="F12" i="24"/>
  <c r="F12" i="15" s="1"/>
  <c r="E12" i="24"/>
  <c r="D12" i="24"/>
  <c r="D12" i="15" s="1"/>
  <c r="C12" i="24"/>
  <c r="C12" i="15" s="1"/>
  <c r="N11" i="24"/>
  <c r="N11" i="15" s="1"/>
  <c r="M11" i="24"/>
  <c r="M11" i="15" s="1"/>
  <c r="L11" i="24"/>
  <c r="L11" i="15" s="1"/>
  <c r="J11" i="24"/>
  <c r="J11" i="15" s="1"/>
  <c r="I11" i="24"/>
  <c r="I11" i="15" s="1"/>
  <c r="H11" i="24"/>
  <c r="H11" i="15" s="1"/>
  <c r="G11" i="24"/>
  <c r="G11" i="15" s="1"/>
  <c r="F11" i="24"/>
  <c r="F11" i="15" s="1"/>
  <c r="E11" i="24"/>
  <c r="D11" i="24"/>
  <c r="D11" i="15" s="1"/>
  <c r="C11" i="24"/>
  <c r="C11" i="15" s="1"/>
  <c r="N10" i="24"/>
  <c r="N10" i="15" s="1"/>
  <c r="M10" i="24"/>
  <c r="M10" i="15" s="1"/>
  <c r="L10" i="24"/>
  <c r="J10" i="24"/>
  <c r="J10" i="15" s="1"/>
  <c r="I10" i="24"/>
  <c r="I10" i="15" s="1"/>
  <c r="H10" i="24"/>
  <c r="H10" i="15" s="1"/>
  <c r="G10" i="24"/>
  <c r="G10" i="15" s="1"/>
  <c r="F10" i="24"/>
  <c r="E10" i="24"/>
  <c r="E10" i="15" s="1"/>
  <c r="D10" i="24"/>
  <c r="D10" i="15" s="1"/>
  <c r="C10" i="24"/>
  <c r="C10" i="15" s="1"/>
  <c r="N9" i="24"/>
  <c r="N9" i="15" s="1"/>
  <c r="M9" i="24"/>
  <c r="M9" i="15" s="1"/>
  <c r="L9" i="24"/>
  <c r="L9" i="15" s="1"/>
  <c r="J9" i="24"/>
  <c r="J9" i="15" s="1"/>
  <c r="I9" i="24"/>
  <c r="I9" i="15" s="1"/>
  <c r="H9" i="24"/>
  <c r="H9" i="15" s="1"/>
  <c r="G9" i="24"/>
  <c r="G9" i="15" s="1"/>
  <c r="F9" i="24"/>
  <c r="F9" i="15" s="1"/>
  <c r="E9" i="24"/>
  <c r="E9" i="15" s="1"/>
  <c r="D9" i="24"/>
  <c r="D9" i="15" s="1"/>
  <c r="C9" i="24"/>
  <c r="N8" i="24"/>
  <c r="N8" i="15" s="1"/>
  <c r="M8" i="24"/>
  <c r="M8" i="15" s="1"/>
  <c r="L8" i="24"/>
  <c r="J8" i="24"/>
  <c r="J8" i="15" s="1"/>
  <c r="I8" i="24"/>
  <c r="I8" i="15" s="1"/>
  <c r="H8" i="24"/>
  <c r="H8" i="15" s="1"/>
  <c r="G8" i="24"/>
  <c r="G8" i="15" s="1"/>
  <c r="F8" i="24"/>
  <c r="F8" i="15" s="1"/>
  <c r="E8" i="24"/>
  <c r="E8" i="15" s="1"/>
  <c r="D8" i="24"/>
  <c r="D8" i="15" s="1"/>
  <c r="C8" i="24"/>
  <c r="C8" i="15" s="1"/>
  <c r="N7" i="24"/>
  <c r="N7" i="15" s="1"/>
  <c r="M7" i="24"/>
  <c r="M7" i="15" s="1"/>
  <c r="L7" i="24"/>
  <c r="L7" i="15" s="1"/>
  <c r="J7" i="24"/>
  <c r="J7" i="15" s="1"/>
  <c r="I7" i="24"/>
  <c r="I7" i="15" s="1"/>
  <c r="H7" i="24"/>
  <c r="H7" i="15" s="1"/>
  <c r="G7" i="24"/>
  <c r="G7" i="15" s="1"/>
  <c r="F7" i="24"/>
  <c r="F7" i="15" s="1"/>
  <c r="E7" i="24"/>
  <c r="D7" i="24"/>
  <c r="C7" i="24"/>
  <c r="C7" i="15" s="1"/>
  <c r="N6" i="24"/>
  <c r="N6" i="15" s="1"/>
  <c r="M6" i="24"/>
  <c r="M6" i="15" s="1"/>
  <c r="L6" i="24"/>
  <c r="L6" i="15" s="1"/>
  <c r="J6" i="24"/>
  <c r="J6" i="15" s="1"/>
  <c r="I6" i="24"/>
  <c r="I6" i="15" s="1"/>
  <c r="H6" i="24"/>
  <c r="H6" i="15" s="1"/>
  <c r="G6" i="24"/>
  <c r="G6" i="15" s="1"/>
  <c r="F6" i="24"/>
  <c r="F6" i="15" s="1"/>
  <c r="E6" i="24"/>
  <c r="E6" i="15" s="1"/>
  <c r="D6" i="24"/>
  <c r="D6" i="15" s="1"/>
  <c r="C6" i="24"/>
  <c r="N5" i="24"/>
  <c r="N5" i="15" s="1"/>
  <c r="M5" i="24"/>
  <c r="M5" i="15" s="1"/>
  <c r="L5" i="24"/>
  <c r="L5" i="15" s="1"/>
  <c r="J5" i="24"/>
  <c r="J5" i="15" s="1"/>
  <c r="I5" i="24"/>
  <c r="I5" i="15" s="1"/>
  <c r="H5" i="24"/>
  <c r="H5" i="15" s="1"/>
  <c r="G5" i="24"/>
  <c r="G5" i="15" s="1"/>
  <c r="F5" i="24"/>
  <c r="F5" i="15" s="1"/>
  <c r="E5" i="24"/>
  <c r="D5" i="24"/>
  <c r="D5" i="15" s="1"/>
  <c r="C5" i="24"/>
  <c r="C5" i="15" s="1"/>
  <c r="N4" i="24"/>
  <c r="N4" i="15" s="1"/>
  <c r="M4" i="24"/>
  <c r="M4" i="15" s="1"/>
  <c r="L4" i="24"/>
  <c r="L4" i="15" s="1"/>
  <c r="J4" i="24"/>
  <c r="J4" i="15" s="1"/>
  <c r="I4" i="24"/>
  <c r="I4" i="15" s="1"/>
  <c r="H4" i="24"/>
  <c r="H4" i="15" s="1"/>
  <c r="G4" i="24"/>
  <c r="G4" i="15" s="1"/>
  <c r="F4" i="24"/>
  <c r="F4" i="15" s="1"/>
  <c r="E4" i="24"/>
  <c r="E4" i="15" s="1"/>
  <c r="D4" i="24"/>
  <c r="D4" i="15" s="1"/>
  <c r="C4" i="24"/>
  <c r="C4" i="15" s="1"/>
  <c r="N3" i="24"/>
  <c r="N3" i="15" s="1"/>
  <c r="M3" i="24"/>
  <c r="M3" i="15" s="1"/>
  <c r="L3" i="24"/>
  <c r="L3" i="15" s="1"/>
  <c r="J3" i="24"/>
  <c r="J3" i="15" s="1"/>
  <c r="I3" i="24"/>
  <c r="I3" i="15" s="1"/>
  <c r="H3" i="24"/>
  <c r="H3" i="15" s="1"/>
  <c r="G3" i="24"/>
  <c r="G3" i="15" s="1"/>
  <c r="F3" i="24"/>
  <c r="F3" i="15" s="1"/>
  <c r="E3" i="24"/>
  <c r="D3" i="24"/>
  <c r="D3" i="15" s="1"/>
  <c r="C3" i="24"/>
  <c r="C3" i="15" s="1"/>
  <c r="N2" i="24"/>
  <c r="N2" i="15" s="1"/>
  <c r="M2" i="24"/>
  <c r="M2" i="15" s="1"/>
  <c r="L2" i="24"/>
  <c r="L2" i="15" s="1"/>
  <c r="J2" i="24"/>
  <c r="J2" i="15" s="1"/>
  <c r="I2" i="24"/>
  <c r="I2" i="15" s="1"/>
  <c r="H2" i="24"/>
  <c r="H2" i="15" s="1"/>
  <c r="G2" i="24"/>
  <c r="G2" i="15" s="1"/>
  <c r="F2" i="24"/>
  <c r="F2" i="15" s="1"/>
  <c r="E2" i="24"/>
  <c r="D2" i="24"/>
  <c r="D2" i="15" s="1"/>
  <c r="C2" i="24"/>
  <c r="C2" i="15" s="1"/>
  <c r="G58" i="17"/>
  <c r="G45" i="17"/>
  <c r="G45" i="23" s="1"/>
  <c r="G19" i="17"/>
  <c r="G19" i="23" s="1"/>
  <c r="E70" i="23"/>
  <c r="D71" i="23"/>
  <c r="G71" i="23"/>
  <c r="D73" i="23"/>
  <c r="D74" i="23"/>
  <c r="G75" i="23"/>
  <c r="D76" i="23"/>
  <c r="E77" i="23"/>
  <c r="F77" i="23"/>
  <c r="G77" i="23"/>
  <c r="D78" i="23"/>
  <c r="D80" i="23"/>
  <c r="D82" i="23"/>
  <c r="E82" i="23"/>
  <c r="F82" i="23"/>
  <c r="G82" i="23"/>
  <c r="G83" i="23"/>
  <c r="H84" i="23"/>
  <c r="E86" i="23"/>
  <c r="D87" i="23"/>
  <c r="E87" i="23"/>
  <c r="F87" i="23"/>
  <c r="G87" i="23"/>
  <c r="E91" i="23"/>
  <c r="D92" i="23"/>
  <c r="E92" i="23"/>
  <c r="F92" i="23"/>
  <c r="G92" i="23"/>
  <c r="E95" i="23"/>
  <c r="F95" i="23"/>
  <c r="D96" i="23"/>
  <c r="F96" i="23"/>
  <c r="G96" i="23"/>
  <c r="H96" i="23"/>
  <c r="D97" i="23"/>
  <c r="E97" i="23"/>
  <c r="D98" i="23"/>
  <c r="G99" i="23"/>
  <c r="F100" i="23"/>
  <c r="D101" i="23"/>
  <c r="E101" i="23"/>
  <c r="F101" i="23"/>
  <c r="G101" i="23"/>
  <c r="D102" i="23"/>
  <c r="D104" i="23"/>
  <c r="G104" i="23"/>
  <c r="H104" i="23"/>
  <c r="F105" i="23"/>
  <c r="E106" i="23"/>
  <c r="F106" i="23"/>
  <c r="G106" i="23"/>
  <c r="D107" i="23"/>
  <c r="H108" i="23"/>
  <c r="F109" i="23"/>
  <c r="G109" i="23"/>
  <c r="F110" i="23"/>
  <c r="G110" i="23"/>
  <c r="D111" i="23"/>
  <c r="E111" i="23"/>
  <c r="F111" i="23"/>
  <c r="G111" i="23"/>
  <c r="E113" i="23"/>
  <c r="G113" i="23"/>
  <c r="F114" i="23"/>
  <c r="G114" i="23"/>
  <c r="F115" i="23"/>
  <c r="D116" i="23"/>
  <c r="E116" i="23"/>
  <c r="F116" i="23"/>
  <c r="G116" i="23"/>
  <c r="F118" i="23"/>
  <c r="F119" i="23"/>
  <c r="G119" i="23"/>
  <c r="E120" i="23"/>
  <c r="F120" i="23"/>
  <c r="G120" i="23"/>
  <c r="D121" i="23"/>
  <c r="E121" i="23"/>
  <c r="F121" i="23"/>
  <c r="G121" i="23"/>
  <c r="E122" i="23"/>
  <c r="D124" i="23"/>
  <c r="E124" i="23"/>
  <c r="D125" i="23"/>
  <c r="F125" i="23"/>
  <c r="G125" i="23"/>
  <c r="D126" i="23"/>
  <c r="E126" i="23"/>
  <c r="F129" i="23"/>
  <c r="D130" i="23"/>
  <c r="F130" i="23"/>
  <c r="G130" i="23"/>
  <c r="H130" i="23"/>
  <c r="D131" i="23"/>
  <c r="E131" i="23"/>
  <c r="F131" i="23"/>
  <c r="E133" i="23"/>
  <c r="G134" i="23"/>
  <c r="E135" i="23"/>
  <c r="F135" i="23"/>
  <c r="G135" i="23"/>
  <c r="D136" i="23"/>
  <c r="E136" i="23"/>
  <c r="F136" i="23"/>
  <c r="E137" i="23"/>
  <c r="E138" i="23"/>
  <c r="E140" i="23"/>
  <c r="F140" i="23"/>
  <c r="G140" i="23"/>
  <c r="H140" i="23"/>
  <c r="D141" i="23"/>
  <c r="G141" i="23"/>
  <c r="G142" i="23"/>
  <c r="E144" i="23"/>
  <c r="F144" i="23"/>
  <c r="G144" i="23"/>
  <c r="D145" i="23"/>
  <c r="E145" i="23"/>
  <c r="F145" i="23"/>
  <c r="G145" i="23"/>
  <c r="G148" i="23"/>
  <c r="D68" i="17"/>
  <c r="D69" i="23" s="1"/>
  <c r="E68" i="17"/>
  <c r="E69" i="23" s="1"/>
  <c r="F68" i="17"/>
  <c r="G68" i="17"/>
  <c r="H68" i="17"/>
  <c r="H69" i="23" s="1"/>
  <c r="B66" i="2"/>
  <c r="M66" i="2"/>
  <c r="B67" i="2"/>
  <c r="M67" i="2"/>
  <c r="B68" i="2"/>
  <c r="M68" i="2"/>
  <c r="B69" i="2"/>
  <c r="M69" i="2"/>
  <c r="B70" i="2"/>
  <c r="M70" i="2"/>
  <c r="D142" i="17"/>
  <c r="D142" i="23" s="1"/>
  <c r="E142" i="17"/>
  <c r="E142" i="23" s="1"/>
  <c r="F142" i="17"/>
  <c r="F142" i="23" s="1"/>
  <c r="G142" i="17"/>
  <c r="H142" i="17"/>
  <c r="D143" i="17"/>
  <c r="D143" i="23" s="1"/>
  <c r="E143" i="17"/>
  <c r="E143" i="23" s="1"/>
  <c r="F143" i="17"/>
  <c r="F143" i="23" s="1"/>
  <c r="G143" i="17"/>
  <c r="G143" i="23" s="1"/>
  <c r="H143" i="17"/>
  <c r="H144" i="23" s="1"/>
  <c r="D144" i="17"/>
  <c r="D144" i="23" s="1"/>
  <c r="E144" i="17"/>
  <c r="F144" i="17"/>
  <c r="G144" i="17"/>
  <c r="H144" i="17"/>
  <c r="D145" i="17"/>
  <c r="E145" i="17"/>
  <c r="F145" i="17"/>
  <c r="G145" i="17"/>
  <c r="H145" i="17"/>
  <c r="D146" i="17"/>
  <c r="D146" i="23" s="1"/>
  <c r="E146" i="17"/>
  <c r="E146" i="23" s="1"/>
  <c r="F146" i="17"/>
  <c r="F146" i="23" s="1"/>
  <c r="G146" i="17"/>
  <c r="G146" i="23" s="1"/>
  <c r="H146" i="17"/>
  <c r="D147" i="17"/>
  <c r="D147" i="23" s="1"/>
  <c r="E147" i="17"/>
  <c r="E147" i="23" s="1"/>
  <c r="F147" i="17"/>
  <c r="F147" i="23" s="1"/>
  <c r="G147" i="17"/>
  <c r="G147" i="23" s="1"/>
  <c r="H147" i="17"/>
  <c r="H148" i="23" s="1"/>
  <c r="D148" i="17"/>
  <c r="D148" i="23" s="1"/>
  <c r="E148" i="17"/>
  <c r="E148" i="23" s="1"/>
  <c r="F148" i="17"/>
  <c r="F148" i="23" s="1"/>
  <c r="G148" i="17"/>
  <c r="H148" i="17"/>
  <c r="E111" i="17"/>
  <c r="E112" i="17"/>
  <c r="E112" i="23" s="1"/>
  <c r="E113" i="17"/>
  <c r="E114" i="17"/>
  <c r="E114" i="23" s="1"/>
  <c r="E115" i="17"/>
  <c r="E115" i="23" s="1"/>
  <c r="E116" i="17"/>
  <c r="E117" i="17"/>
  <c r="E117" i="23" s="1"/>
  <c r="E118" i="17"/>
  <c r="E118" i="23" s="1"/>
  <c r="E119" i="17"/>
  <c r="E119" i="23" s="1"/>
  <c r="E120" i="17"/>
  <c r="E121" i="17"/>
  <c r="E122" i="17"/>
  <c r="E123" i="17"/>
  <c r="E123" i="23" s="1"/>
  <c r="E124" i="17"/>
  <c r="E125" i="17"/>
  <c r="E125" i="23" s="1"/>
  <c r="E126" i="17"/>
  <c r="E127" i="17"/>
  <c r="E127" i="23" s="1"/>
  <c r="E128" i="17"/>
  <c r="E128" i="23" s="1"/>
  <c r="E129" i="17"/>
  <c r="E129" i="23" s="1"/>
  <c r="E130" i="17"/>
  <c r="E130" i="23" s="1"/>
  <c r="E131" i="17"/>
  <c r="E132" i="17"/>
  <c r="E132" i="23" s="1"/>
  <c r="E133" i="17"/>
  <c r="E134" i="17"/>
  <c r="E134" i="23" s="1"/>
  <c r="E135" i="17"/>
  <c r="E136" i="17"/>
  <c r="E137" i="17"/>
  <c r="E138" i="17"/>
  <c r="E139" i="17"/>
  <c r="E139" i="23" s="1"/>
  <c r="E140" i="17"/>
  <c r="E141" i="17"/>
  <c r="E141" i="23" s="1"/>
  <c r="E110" i="17"/>
  <c r="E110" i="23" s="1"/>
  <c r="D110" i="17"/>
  <c r="D110" i="23" s="1"/>
  <c r="F110" i="17"/>
  <c r="G110" i="17"/>
  <c r="H110" i="17"/>
  <c r="H110" i="23" s="1"/>
  <c r="D111" i="17"/>
  <c r="F111" i="17"/>
  <c r="G111" i="17"/>
  <c r="H111" i="17"/>
  <c r="D112" i="17"/>
  <c r="D112" i="23" s="1"/>
  <c r="F112" i="17"/>
  <c r="F112" i="23" s="1"/>
  <c r="G112" i="17"/>
  <c r="G112" i="23" s="1"/>
  <c r="H112" i="17"/>
  <c r="D113" i="17"/>
  <c r="D113" i="23" s="1"/>
  <c r="F113" i="17"/>
  <c r="F113" i="23" s="1"/>
  <c r="G113" i="17"/>
  <c r="H113" i="17"/>
  <c r="D114" i="17"/>
  <c r="D114" i="23" s="1"/>
  <c r="F114" i="17"/>
  <c r="G114" i="17"/>
  <c r="H114" i="17"/>
  <c r="D115" i="17"/>
  <c r="D115" i="23" s="1"/>
  <c r="F115" i="17"/>
  <c r="G115" i="17"/>
  <c r="G115" i="23" s="1"/>
  <c r="H115" i="17"/>
  <c r="H115" i="23" s="1"/>
  <c r="D116" i="17"/>
  <c r="F116" i="17"/>
  <c r="G116" i="17"/>
  <c r="H116" i="17"/>
  <c r="D117" i="17"/>
  <c r="D117" i="23" s="1"/>
  <c r="F117" i="17"/>
  <c r="F117" i="23" s="1"/>
  <c r="G117" i="17"/>
  <c r="G117" i="23" s="1"/>
  <c r="H117" i="17"/>
  <c r="D118" i="17"/>
  <c r="D118" i="23" s="1"/>
  <c r="F118" i="17"/>
  <c r="G118" i="17"/>
  <c r="G118" i="23" s="1"/>
  <c r="H118" i="17"/>
  <c r="H118" i="23" s="1"/>
  <c r="D119" i="17"/>
  <c r="D119" i="23" s="1"/>
  <c r="F119" i="17"/>
  <c r="G119" i="17"/>
  <c r="H119" i="17"/>
  <c r="H119" i="23" s="1"/>
  <c r="D120" i="17"/>
  <c r="D120" i="23" s="1"/>
  <c r="F120" i="17"/>
  <c r="G120" i="17"/>
  <c r="H120" i="17"/>
  <c r="H120" i="23" s="1"/>
  <c r="D121" i="17"/>
  <c r="F121" i="17"/>
  <c r="G121" i="17"/>
  <c r="H121" i="17"/>
  <c r="D122" i="17"/>
  <c r="D122" i="23" s="1"/>
  <c r="F122" i="17"/>
  <c r="F122" i="23" s="1"/>
  <c r="G122" i="17"/>
  <c r="G122" i="23" s="1"/>
  <c r="H122" i="17"/>
  <c r="D123" i="17"/>
  <c r="D123" i="23" s="1"/>
  <c r="F123" i="17"/>
  <c r="F123" i="23" s="1"/>
  <c r="G123" i="17"/>
  <c r="G123" i="23" s="1"/>
  <c r="H123" i="17"/>
  <c r="D124" i="17"/>
  <c r="F124" i="17"/>
  <c r="F124" i="23" s="1"/>
  <c r="G124" i="17"/>
  <c r="G124" i="23" s="1"/>
  <c r="H124" i="17"/>
  <c r="D125" i="17"/>
  <c r="F125" i="17"/>
  <c r="G125" i="17"/>
  <c r="H125" i="17"/>
  <c r="H125" i="23" s="1"/>
  <c r="D126" i="17"/>
  <c r="F126" i="17"/>
  <c r="F126" i="23" s="1"/>
  <c r="G126" i="17"/>
  <c r="G126" i="23" s="1"/>
  <c r="H126" i="17"/>
  <c r="D127" i="17"/>
  <c r="D127" i="23" s="1"/>
  <c r="F127" i="17"/>
  <c r="F127" i="23" s="1"/>
  <c r="G127" i="17"/>
  <c r="G127" i="23" s="1"/>
  <c r="H127" i="17"/>
  <c r="D128" i="17"/>
  <c r="D128" i="23" s="1"/>
  <c r="F128" i="17"/>
  <c r="F128" i="23" s="1"/>
  <c r="G128" i="17"/>
  <c r="G128" i="23" s="1"/>
  <c r="H128" i="17"/>
  <c r="D129" i="17"/>
  <c r="D129" i="23" s="1"/>
  <c r="F129" i="17"/>
  <c r="G129" i="17"/>
  <c r="G129" i="23" s="1"/>
  <c r="H129" i="17"/>
  <c r="H129" i="23" s="1"/>
  <c r="D130" i="17"/>
  <c r="F130" i="17"/>
  <c r="G130" i="17"/>
  <c r="H130" i="17"/>
  <c r="D131" i="17"/>
  <c r="F131" i="17"/>
  <c r="G131" i="17"/>
  <c r="G131" i="23" s="1"/>
  <c r="H131" i="17"/>
  <c r="D132" i="17"/>
  <c r="D132" i="23" s="1"/>
  <c r="F132" i="17"/>
  <c r="F132" i="23" s="1"/>
  <c r="G132" i="17"/>
  <c r="G132" i="23" s="1"/>
  <c r="H132" i="17"/>
  <c r="D133" i="17"/>
  <c r="D133" i="23" s="1"/>
  <c r="F133" i="17"/>
  <c r="F133" i="23" s="1"/>
  <c r="G133" i="17"/>
  <c r="G133" i="23" s="1"/>
  <c r="H133" i="17"/>
  <c r="D134" i="17"/>
  <c r="D134" i="23" s="1"/>
  <c r="F134" i="17"/>
  <c r="F134" i="23" s="1"/>
  <c r="G134" i="17"/>
  <c r="H134" i="17"/>
  <c r="H135" i="23" s="1"/>
  <c r="D135" i="17"/>
  <c r="D135" i="23" s="1"/>
  <c r="F135" i="17"/>
  <c r="G135" i="17"/>
  <c r="H135" i="17"/>
  <c r="D136" i="17"/>
  <c r="F136" i="17"/>
  <c r="G136" i="17"/>
  <c r="G136" i="23" s="1"/>
  <c r="H136" i="17"/>
  <c r="D137" i="17"/>
  <c r="D137" i="23" s="1"/>
  <c r="F137" i="17"/>
  <c r="F137" i="23" s="1"/>
  <c r="G137" i="17"/>
  <c r="G137" i="23" s="1"/>
  <c r="H137" i="17"/>
  <c r="H137" i="23" s="1"/>
  <c r="D138" i="17"/>
  <c r="D138" i="23" s="1"/>
  <c r="F138" i="17"/>
  <c r="F138" i="23" s="1"/>
  <c r="G138" i="17"/>
  <c r="G138" i="23" s="1"/>
  <c r="H138" i="17"/>
  <c r="H138" i="23" s="1"/>
  <c r="D139" i="17"/>
  <c r="D139" i="23" s="1"/>
  <c r="F139" i="17"/>
  <c r="F139" i="23" s="1"/>
  <c r="G139" i="17"/>
  <c r="G139" i="23" s="1"/>
  <c r="H139" i="17"/>
  <c r="H139" i="23" s="1"/>
  <c r="D140" i="17"/>
  <c r="D140" i="23" s="1"/>
  <c r="F140" i="17"/>
  <c r="G140" i="17"/>
  <c r="H140" i="17"/>
  <c r="D141" i="17"/>
  <c r="F141" i="17"/>
  <c r="F141" i="23" s="1"/>
  <c r="G141" i="17"/>
  <c r="H141" i="17"/>
  <c r="D70" i="17"/>
  <c r="D70" i="23" s="1"/>
  <c r="E70" i="17"/>
  <c r="F70" i="17"/>
  <c r="F70" i="23" s="1"/>
  <c r="G70" i="17"/>
  <c r="G70" i="23" s="1"/>
  <c r="H70" i="17"/>
  <c r="D71" i="17"/>
  <c r="E71" i="17"/>
  <c r="E71" i="23" s="1"/>
  <c r="F71" i="17"/>
  <c r="F71" i="23" s="1"/>
  <c r="G71" i="17"/>
  <c r="H71" i="17"/>
  <c r="D72" i="17"/>
  <c r="D72" i="23" s="1"/>
  <c r="E72" i="17"/>
  <c r="E72" i="23" s="1"/>
  <c r="F72" i="17"/>
  <c r="F72" i="23" s="1"/>
  <c r="G72" i="17"/>
  <c r="G72" i="23" s="1"/>
  <c r="H72" i="17"/>
  <c r="D73" i="17"/>
  <c r="E73" i="17"/>
  <c r="E73" i="23" s="1"/>
  <c r="F73" i="17"/>
  <c r="F73" i="23" s="1"/>
  <c r="G73" i="17"/>
  <c r="G73" i="23" s="1"/>
  <c r="H73" i="17"/>
  <c r="D74" i="17"/>
  <c r="E74" i="17"/>
  <c r="E74" i="23" s="1"/>
  <c r="F74" i="17"/>
  <c r="F74" i="23" s="1"/>
  <c r="G74" i="17"/>
  <c r="G74" i="23" s="1"/>
  <c r="H74" i="17"/>
  <c r="H74" i="23" s="1"/>
  <c r="D75" i="17"/>
  <c r="D75" i="23" s="1"/>
  <c r="E75" i="17"/>
  <c r="E75" i="23" s="1"/>
  <c r="F75" i="17"/>
  <c r="F75" i="23" s="1"/>
  <c r="G75" i="17"/>
  <c r="H75" i="17"/>
  <c r="D76" i="17"/>
  <c r="E76" i="17"/>
  <c r="E76" i="23" s="1"/>
  <c r="F76" i="17"/>
  <c r="F76" i="23" s="1"/>
  <c r="G76" i="17"/>
  <c r="G76" i="23" s="1"/>
  <c r="H76" i="17"/>
  <c r="D77" i="17"/>
  <c r="D77" i="23" s="1"/>
  <c r="E77" i="17"/>
  <c r="F77" i="17"/>
  <c r="G77" i="17"/>
  <c r="H77" i="17"/>
  <c r="D78" i="17"/>
  <c r="E78" i="17"/>
  <c r="E78" i="23" s="1"/>
  <c r="F78" i="17"/>
  <c r="F78" i="23" s="1"/>
  <c r="G78" i="17"/>
  <c r="G78" i="23" s="1"/>
  <c r="H78" i="17"/>
  <c r="D79" i="17"/>
  <c r="D79" i="23" s="1"/>
  <c r="E79" i="17"/>
  <c r="E79" i="23" s="1"/>
  <c r="F79" i="17"/>
  <c r="F79" i="23" s="1"/>
  <c r="G79" i="17"/>
  <c r="G79" i="23" s="1"/>
  <c r="H79" i="17"/>
  <c r="D80" i="17"/>
  <c r="E80" i="17"/>
  <c r="E80" i="23" s="1"/>
  <c r="F80" i="17"/>
  <c r="F80" i="23" s="1"/>
  <c r="G80" i="17"/>
  <c r="G80" i="23" s="1"/>
  <c r="H80" i="17"/>
  <c r="D81" i="17"/>
  <c r="D81" i="23" s="1"/>
  <c r="E81" i="17"/>
  <c r="E81" i="23" s="1"/>
  <c r="F81" i="17"/>
  <c r="F81" i="23" s="1"/>
  <c r="G81" i="17"/>
  <c r="G81" i="23" s="1"/>
  <c r="H81" i="17"/>
  <c r="H81" i="23" s="1"/>
  <c r="D82" i="17"/>
  <c r="E82" i="17"/>
  <c r="F82" i="17"/>
  <c r="G82" i="17"/>
  <c r="H82" i="17"/>
  <c r="H82" i="23" s="1"/>
  <c r="D83" i="17"/>
  <c r="D83" i="23" s="1"/>
  <c r="E83" i="17"/>
  <c r="E83" i="23" s="1"/>
  <c r="F83" i="17"/>
  <c r="F83" i="23" s="1"/>
  <c r="G83" i="17"/>
  <c r="H83" i="17"/>
  <c r="D84" i="17"/>
  <c r="D84" i="23" s="1"/>
  <c r="E84" i="17"/>
  <c r="E84" i="23" s="1"/>
  <c r="F84" i="17"/>
  <c r="F84" i="23" s="1"/>
  <c r="G84" i="17"/>
  <c r="G84" i="23" s="1"/>
  <c r="H84" i="17"/>
  <c r="D85" i="17"/>
  <c r="D85" i="23" s="1"/>
  <c r="E85" i="17"/>
  <c r="E85" i="23" s="1"/>
  <c r="F85" i="17"/>
  <c r="F85" i="23" s="1"/>
  <c r="G85" i="17"/>
  <c r="G85" i="23" s="1"/>
  <c r="H85" i="17"/>
  <c r="H86" i="23" s="1"/>
  <c r="D86" i="17"/>
  <c r="D86" i="23" s="1"/>
  <c r="E86" i="17"/>
  <c r="F86" i="17"/>
  <c r="F86" i="23" s="1"/>
  <c r="G86" i="17"/>
  <c r="G86" i="23" s="1"/>
  <c r="H86" i="17"/>
  <c r="D87" i="17"/>
  <c r="E87" i="17"/>
  <c r="F87" i="17"/>
  <c r="G87" i="17"/>
  <c r="H87" i="17"/>
  <c r="H87" i="23" s="1"/>
  <c r="D88" i="17"/>
  <c r="D88" i="23" s="1"/>
  <c r="E88" i="17"/>
  <c r="E88" i="23" s="1"/>
  <c r="F88" i="17"/>
  <c r="F88" i="23" s="1"/>
  <c r="G88" i="17"/>
  <c r="G88" i="23" s="1"/>
  <c r="H88" i="17"/>
  <c r="D89" i="17"/>
  <c r="D89" i="23" s="1"/>
  <c r="E89" i="17"/>
  <c r="E89" i="23" s="1"/>
  <c r="F89" i="17"/>
  <c r="F89" i="23" s="1"/>
  <c r="G89" i="17"/>
  <c r="G89" i="23" s="1"/>
  <c r="H89" i="17"/>
  <c r="D90" i="17"/>
  <c r="D90" i="23" s="1"/>
  <c r="E90" i="17"/>
  <c r="E90" i="23" s="1"/>
  <c r="F90" i="17"/>
  <c r="F90" i="23" s="1"/>
  <c r="G90" i="17"/>
  <c r="G90" i="23" s="1"/>
  <c r="H90" i="17"/>
  <c r="D91" i="17"/>
  <c r="D91" i="23" s="1"/>
  <c r="E91" i="17"/>
  <c r="F91" i="17"/>
  <c r="F91" i="23" s="1"/>
  <c r="G91" i="17"/>
  <c r="G91" i="23" s="1"/>
  <c r="H91" i="17"/>
  <c r="D92" i="17"/>
  <c r="E92" i="17"/>
  <c r="F92" i="17"/>
  <c r="G92" i="17"/>
  <c r="H92" i="17"/>
  <c r="H92" i="23" s="1"/>
  <c r="D93" i="17"/>
  <c r="D93" i="23" s="1"/>
  <c r="E93" i="17"/>
  <c r="E93" i="23" s="1"/>
  <c r="F93" i="17"/>
  <c r="F93" i="23" s="1"/>
  <c r="G93" i="17"/>
  <c r="G93" i="23" s="1"/>
  <c r="H93" i="17"/>
  <c r="D94" i="17"/>
  <c r="D94" i="23" s="1"/>
  <c r="E94" i="17"/>
  <c r="E94" i="23" s="1"/>
  <c r="F94" i="17"/>
  <c r="F94" i="23" s="1"/>
  <c r="G94" i="17"/>
  <c r="G94" i="23" s="1"/>
  <c r="H94" i="17"/>
  <c r="D95" i="17"/>
  <c r="D95" i="23" s="1"/>
  <c r="E95" i="17"/>
  <c r="F95" i="17"/>
  <c r="G95" i="17"/>
  <c r="G95" i="23" s="1"/>
  <c r="H95" i="17"/>
  <c r="H95" i="23" s="1"/>
  <c r="D96" i="17"/>
  <c r="E96" i="17"/>
  <c r="E96" i="23" s="1"/>
  <c r="F96" i="17"/>
  <c r="G96" i="17"/>
  <c r="H96" i="17"/>
  <c r="D97" i="17"/>
  <c r="E97" i="17"/>
  <c r="F97" i="17"/>
  <c r="F97" i="23" s="1"/>
  <c r="G97" i="17"/>
  <c r="G97" i="23" s="1"/>
  <c r="H97" i="17"/>
  <c r="H97" i="23" s="1"/>
  <c r="D98" i="17"/>
  <c r="E98" i="17"/>
  <c r="E98" i="23" s="1"/>
  <c r="F98" i="17"/>
  <c r="F98" i="23" s="1"/>
  <c r="G98" i="17"/>
  <c r="G98" i="23" s="1"/>
  <c r="H98" i="17"/>
  <c r="H98" i="23" s="1"/>
  <c r="D99" i="17"/>
  <c r="D99" i="23" s="1"/>
  <c r="E99" i="17"/>
  <c r="E99" i="23" s="1"/>
  <c r="F99" i="17"/>
  <c r="F99" i="23" s="1"/>
  <c r="G99" i="17"/>
  <c r="H99" i="17"/>
  <c r="D100" i="17"/>
  <c r="D100" i="23" s="1"/>
  <c r="E100" i="17"/>
  <c r="E100" i="23" s="1"/>
  <c r="F100" i="17"/>
  <c r="G100" i="17"/>
  <c r="G100" i="23" s="1"/>
  <c r="H100" i="17"/>
  <c r="D101" i="17"/>
  <c r="E101" i="17"/>
  <c r="F101" i="17"/>
  <c r="G101" i="17"/>
  <c r="H101" i="17"/>
  <c r="D102" i="17"/>
  <c r="E102" i="17"/>
  <c r="E102" i="23" s="1"/>
  <c r="F102" i="17"/>
  <c r="F102" i="23" s="1"/>
  <c r="G102" i="17"/>
  <c r="G102" i="23" s="1"/>
  <c r="H102" i="17"/>
  <c r="D103" i="17"/>
  <c r="D103" i="23" s="1"/>
  <c r="E103" i="17"/>
  <c r="E103" i="23" s="1"/>
  <c r="F103" i="17"/>
  <c r="F103" i="23" s="1"/>
  <c r="G103" i="17"/>
  <c r="G103" i="23" s="1"/>
  <c r="H103" i="17"/>
  <c r="D104" i="17"/>
  <c r="E104" i="17"/>
  <c r="E104" i="23" s="1"/>
  <c r="F104" i="17"/>
  <c r="F104" i="23" s="1"/>
  <c r="G104" i="17"/>
  <c r="H104" i="17"/>
  <c r="D105" i="17"/>
  <c r="D105" i="23" s="1"/>
  <c r="E105" i="17"/>
  <c r="E105" i="23" s="1"/>
  <c r="F105" i="17"/>
  <c r="G105" i="17"/>
  <c r="G105" i="23" s="1"/>
  <c r="H105" i="17"/>
  <c r="D106" i="17"/>
  <c r="D106" i="23" s="1"/>
  <c r="E106" i="17"/>
  <c r="F106" i="17"/>
  <c r="G106" i="17"/>
  <c r="H106" i="17"/>
  <c r="D107" i="17"/>
  <c r="E107" i="17"/>
  <c r="E107" i="23" s="1"/>
  <c r="F107" i="17"/>
  <c r="F107" i="23" s="1"/>
  <c r="G107" i="17"/>
  <c r="G107" i="23" s="1"/>
  <c r="H107" i="17"/>
  <c r="H107" i="23" s="1"/>
  <c r="D108" i="17"/>
  <c r="D108" i="23" s="1"/>
  <c r="E108" i="17"/>
  <c r="E108" i="23" s="1"/>
  <c r="F108" i="17"/>
  <c r="F108" i="23" s="1"/>
  <c r="G108" i="17"/>
  <c r="G108" i="23" s="1"/>
  <c r="H108" i="17"/>
  <c r="D109" i="17"/>
  <c r="D109" i="23" s="1"/>
  <c r="E109" i="17"/>
  <c r="E109" i="23" s="1"/>
  <c r="F109" i="17"/>
  <c r="G109" i="17"/>
  <c r="H109" i="17"/>
  <c r="H69" i="17"/>
  <c r="G69" i="17"/>
  <c r="G69" i="23" s="1"/>
  <c r="F69" i="17"/>
  <c r="F69" i="23" s="1"/>
  <c r="E69" i="17"/>
  <c r="D69" i="17"/>
  <c r="G7" i="17"/>
  <c r="G7" i="23" s="1"/>
  <c r="L70" i="15" l="1"/>
  <c r="M58" i="15"/>
  <c r="M64" i="15"/>
  <c r="M76" i="15"/>
  <c r="M84" i="15"/>
  <c r="M94" i="15"/>
  <c r="M100" i="15"/>
  <c r="M104" i="15"/>
  <c r="M108" i="15"/>
  <c r="M116" i="15"/>
  <c r="M120" i="15"/>
  <c r="M124" i="15"/>
  <c r="M130" i="15"/>
  <c r="M136" i="15"/>
  <c r="M138" i="15"/>
  <c r="M142" i="15"/>
  <c r="N52" i="15"/>
  <c r="N58" i="15"/>
  <c r="N64" i="15"/>
  <c r="N68" i="15"/>
  <c r="N70" i="15"/>
  <c r="N74" i="15"/>
  <c r="N76" i="15"/>
  <c r="N78" i="15"/>
  <c r="N80" i="15"/>
  <c r="N86" i="15"/>
  <c r="N88" i="15"/>
  <c r="N90" i="15"/>
  <c r="N92" i="15"/>
  <c r="N94" i="15"/>
  <c r="N96" i="15"/>
  <c r="N98" i="15"/>
  <c r="N100" i="15"/>
  <c r="N104" i="15"/>
  <c r="N106" i="15"/>
  <c r="N108" i="15"/>
  <c r="N110" i="15"/>
  <c r="N112" i="15"/>
  <c r="N114" i="15"/>
  <c r="N116" i="15"/>
  <c r="N118" i="15"/>
  <c r="N120" i="15"/>
  <c r="N122" i="15"/>
  <c r="N126" i="15"/>
  <c r="N128" i="15"/>
  <c r="N132" i="15"/>
  <c r="N134" i="15"/>
  <c r="N136" i="15"/>
  <c r="N138" i="15"/>
  <c r="N140" i="15"/>
  <c r="N142" i="15"/>
  <c r="M62" i="15"/>
  <c r="M72" i="15"/>
  <c r="M80" i="15"/>
  <c r="M90" i="15"/>
  <c r="M112" i="15"/>
  <c r="N62" i="15"/>
  <c r="N72" i="15"/>
  <c r="N130" i="15"/>
  <c r="M66" i="15"/>
  <c r="M74" i="15"/>
  <c r="M86" i="15"/>
  <c r="M110" i="15"/>
  <c r="N56" i="15"/>
  <c r="N66" i="15"/>
  <c r="N84" i="15"/>
  <c r="M56" i="15"/>
  <c r="M68" i="15"/>
  <c r="M70" i="15"/>
  <c r="M78" i="15"/>
  <c r="M88" i="15"/>
  <c r="M92" i="15"/>
  <c r="M96" i="15"/>
  <c r="M102" i="15"/>
  <c r="M106" i="15"/>
  <c r="M114" i="15"/>
  <c r="M118" i="15"/>
  <c r="M122" i="15"/>
  <c r="M126" i="15"/>
  <c r="M132" i="15"/>
  <c r="M134" i="15"/>
  <c r="M140" i="15"/>
  <c r="L126" i="15"/>
  <c r="J51" i="15"/>
  <c r="J57" i="15"/>
  <c r="J63" i="15"/>
  <c r="J69" i="15"/>
  <c r="J75" i="15"/>
  <c r="J79" i="15"/>
  <c r="J83" i="15"/>
  <c r="J87" i="15"/>
  <c r="J89" i="15"/>
  <c r="J91" i="15"/>
  <c r="J93" i="15"/>
  <c r="J97" i="15"/>
  <c r="J101" i="15"/>
  <c r="J103" i="15"/>
  <c r="J105" i="15"/>
  <c r="J107" i="15"/>
  <c r="J109" i="15"/>
  <c r="J111" i="15"/>
  <c r="J113" i="15"/>
  <c r="J115" i="15"/>
  <c r="J117" i="15"/>
  <c r="J119" i="15"/>
  <c r="J121" i="15"/>
  <c r="J123" i="15"/>
  <c r="J125" i="15"/>
  <c r="J129" i="15"/>
  <c r="J133" i="15"/>
  <c r="J135" i="15"/>
  <c r="J139" i="15"/>
  <c r="J141" i="15"/>
  <c r="J143" i="15"/>
  <c r="J55" i="15"/>
  <c r="J59" i="15"/>
  <c r="J61" i="15"/>
  <c r="J65" i="15"/>
  <c r="J67" i="15"/>
  <c r="J71" i="15"/>
  <c r="J73" i="15"/>
  <c r="J77" i="15"/>
  <c r="J81" i="15"/>
  <c r="J99" i="15"/>
  <c r="J53" i="15"/>
  <c r="H77" i="23"/>
  <c r="H106" i="23"/>
  <c r="H79" i="23"/>
  <c r="H94" i="23"/>
  <c r="I91" i="15"/>
  <c r="H146" i="23"/>
  <c r="H136" i="23"/>
  <c r="I118" i="15"/>
  <c r="I120" i="15"/>
  <c r="H101" i="23"/>
  <c r="H134" i="23"/>
  <c r="I124" i="15"/>
  <c r="I122" i="15"/>
  <c r="I121" i="15"/>
  <c r="H124" i="23"/>
  <c r="I110" i="15"/>
  <c r="H114" i="23"/>
  <c r="I109" i="15"/>
  <c r="H113" i="23"/>
  <c r="H112" i="23"/>
  <c r="I104" i="15"/>
  <c r="H103" i="23"/>
  <c r="H100" i="23"/>
  <c r="I82" i="15"/>
  <c r="H99" i="23"/>
  <c r="H91" i="23"/>
  <c r="H90" i="23"/>
  <c r="I74" i="15"/>
  <c r="H73" i="23"/>
  <c r="H72" i="23"/>
  <c r="H71" i="23"/>
  <c r="I65" i="15"/>
  <c r="I58" i="15"/>
  <c r="L67" i="15"/>
  <c r="L66" i="15"/>
  <c r="M61" i="15"/>
  <c r="M129" i="15"/>
  <c r="N69" i="15"/>
  <c r="N91" i="15"/>
  <c r="N113" i="15"/>
  <c r="J50" i="15"/>
  <c r="L54" i="15"/>
  <c r="L53" i="15"/>
  <c r="L58" i="15"/>
  <c r="M123" i="15"/>
  <c r="N60" i="15"/>
  <c r="N59" i="15"/>
  <c r="L118" i="15"/>
  <c r="N99" i="15"/>
  <c r="M77" i="15"/>
  <c r="L132" i="15"/>
  <c r="L106" i="15"/>
  <c r="M99" i="15"/>
  <c r="E58" i="15"/>
  <c r="N54" i="15"/>
  <c r="N53" i="15"/>
  <c r="N82" i="15"/>
  <c r="N81" i="15"/>
  <c r="M103" i="15"/>
  <c r="L88" i="15"/>
  <c r="N77" i="15"/>
  <c r="N51" i="15"/>
  <c r="I51" i="15"/>
  <c r="I55" i="15"/>
  <c r="I54" i="15"/>
  <c r="I57" i="15"/>
  <c r="I59" i="15"/>
  <c r="I61" i="15"/>
  <c r="I63" i="15"/>
  <c r="I73" i="15"/>
  <c r="I81" i="15"/>
  <c r="I87" i="15"/>
  <c r="I89" i="15"/>
  <c r="I93" i="15"/>
  <c r="I95" i="15"/>
  <c r="I99" i="15"/>
  <c r="I103" i="15"/>
  <c r="I107" i="15"/>
  <c r="I113" i="15"/>
  <c r="L114" i="15"/>
  <c r="I106" i="15"/>
  <c r="L80" i="15"/>
  <c r="I77" i="15"/>
  <c r="M73" i="15"/>
  <c r="N125" i="15"/>
  <c r="M95" i="15"/>
  <c r="N57" i="15"/>
  <c r="M82" i="15"/>
  <c r="M81" i="15"/>
  <c r="L91" i="15"/>
  <c r="L90" i="15"/>
  <c r="L111" i="15"/>
  <c r="L110" i="15"/>
  <c r="L131" i="15"/>
  <c r="L130" i="15"/>
  <c r="M89" i="15"/>
  <c r="M93" i="15"/>
  <c r="M109" i="15"/>
  <c r="N119" i="15"/>
  <c r="L105" i="15"/>
  <c r="L104" i="15"/>
  <c r="M71" i="15"/>
  <c r="M98" i="15"/>
  <c r="M97" i="15"/>
  <c r="M85" i="15"/>
  <c r="M91" i="15"/>
  <c r="M107" i="15"/>
  <c r="M137" i="15"/>
  <c r="N143" i="15"/>
  <c r="N67" i="15"/>
  <c r="N111" i="15"/>
  <c r="N141" i="15"/>
  <c r="N83" i="15"/>
  <c r="D62" i="15"/>
  <c r="D61" i="15"/>
  <c r="L86" i="15"/>
  <c r="N61" i="15"/>
  <c r="M57" i="15"/>
  <c r="M135" i="15"/>
  <c r="N71" i="15"/>
  <c r="N93" i="15"/>
  <c r="N115" i="15"/>
  <c r="N135" i="15"/>
  <c r="E56" i="15"/>
  <c r="E60" i="15"/>
  <c r="I86" i="15"/>
  <c r="M52" i="15"/>
  <c r="M51" i="15"/>
  <c r="M54" i="15"/>
  <c r="M53" i="15"/>
  <c r="M60" i="15"/>
  <c r="M59" i="15"/>
  <c r="N102" i="15"/>
  <c r="N101" i="15"/>
  <c r="M113" i="15"/>
  <c r="N65" i="15"/>
  <c r="F60" i="15"/>
  <c r="F59" i="15"/>
  <c r="M101" i="15"/>
  <c r="N79" i="15"/>
  <c r="L68" i="15"/>
  <c r="N55" i="15"/>
  <c r="M128" i="15"/>
  <c r="M127" i="15"/>
  <c r="M141" i="15"/>
  <c r="N103" i="15"/>
  <c r="L61" i="15"/>
  <c r="L60" i="15"/>
  <c r="L85" i="15"/>
  <c r="L84" i="15"/>
  <c r="L137" i="15"/>
  <c r="L136" i="15"/>
  <c r="L128" i="15"/>
  <c r="M125" i="15"/>
  <c r="N121" i="15"/>
  <c r="M65" i="15"/>
  <c r="M67" i="15"/>
  <c r="M105" i="15"/>
  <c r="M111" i="15"/>
  <c r="M115" i="15"/>
  <c r="M119" i="15"/>
  <c r="M139" i="15"/>
  <c r="N73" i="15"/>
  <c r="N139" i="15"/>
  <c r="F52" i="15"/>
  <c r="F56" i="15"/>
  <c r="F55" i="15"/>
  <c r="F62" i="15"/>
  <c r="N127" i="15"/>
  <c r="M79" i="15"/>
  <c r="M55" i="15"/>
  <c r="L117" i="15"/>
  <c r="L116" i="15"/>
  <c r="L102" i="15"/>
  <c r="M87" i="15"/>
  <c r="M131" i="15"/>
  <c r="N109" i="15"/>
  <c r="N133" i="15"/>
  <c r="N105" i="15"/>
  <c r="F54" i="15"/>
  <c r="F50" i="15"/>
  <c r="L138" i="15"/>
  <c r="L112" i="15"/>
  <c r="N97" i="15"/>
  <c r="I94" i="15"/>
  <c r="N75" i="15"/>
  <c r="M69" i="15"/>
  <c r="N89" i="15"/>
  <c r="N95" i="15"/>
  <c r="N131" i="15"/>
  <c r="I70" i="15"/>
  <c r="I69" i="15"/>
  <c r="I102" i="15"/>
  <c r="I101" i="15"/>
  <c r="I126" i="15"/>
  <c r="I130" i="15"/>
  <c r="I134" i="15"/>
  <c r="I133" i="15"/>
  <c r="I138" i="15"/>
  <c r="I142" i="15"/>
  <c r="I112" i="15"/>
  <c r="L82" i="15"/>
  <c r="M75" i="15"/>
  <c r="E54" i="15"/>
  <c r="M143" i="15"/>
  <c r="N124" i="15"/>
  <c r="N123" i="15"/>
  <c r="N129" i="15"/>
  <c r="M63" i="15"/>
  <c r="M83" i="15"/>
  <c r="M117" i="15"/>
  <c r="M133" i="15"/>
  <c r="M121" i="15"/>
  <c r="N63" i="15"/>
  <c r="N87" i="15"/>
  <c r="N107" i="15"/>
  <c r="N117" i="15"/>
  <c r="N137" i="15"/>
  <c r="L64" i="15"/>
  <c r="J52" i="15"/>
  <c r="J54" i="15"/>
  <c r="J56" i="15"/>
  <c r="J58" i="15"/>
  <c r="J60" i="15"/>
  <c r="J62" i="15"/>
  <c r="J64" i="15"/>
  <c r="J66" i="15"/>
  <c r="J68" i="15"/>
  <c r="J70" i="15"/>
  <c r="J72" i="15"/>
  <c r="J74" i="15"/>
  <c r="J76" i="15"/>
  <c r="J78" i="15"/>
  <c r="J80" i="15"/>
  <c r="J82" i="15"/>
  <c r="J84" i="15"/>
  <c r="J86" i="15"/>
  <c r="J88" i="15"/>
  <c r="J90" i="15"/>
  <c r="J92" i="15"/>
  <c r="J94" i="15"/>
  <c r="J96" i="15"/>
  <c r="J98" i="15"/>
  <c r="J100" i="15"/>
  <c r="J102" i="15"/>
  <c r="J104" i="15"/>
  <c r="J106" i="15"/>
  <c r="J108" i="15"/>
  <c r="J110" i="15"/>
  <c r="J112" i="15"/>
  <c r="J114" i="15"/>
  <c r="J116" i="15"/>
  <c r="J118" i="15"/>
  <c r="J120" i="15"/>
  <c r="J122" i="15"/>
  <c r="J124" i="15"/>
  <c r="J126" i="15"/>
  <c r="J128" i="15"/>
  <c r="J127" i="15"/>
  <c r="J130" i="15"/>
  <c r="J132" i="15"/>
  <c r="J134" i="15"/>
  <c r="J136" i="15"/>
  <c r="J138" i="15"/>
  <c r="J140" i="15"/>
  <c r="J142" i="15"/>
  <c r="L134" i="15"/>
  <c r="L108" i="15"/>
  <c r="L62" i="15"/>
  <c r="C53" i="15"/>
  <c r="C55" i="15"/>
  <c r="C57" i="15"/>
  <c r="C59" i="15"/>
  <c r="C61" i="15"/>
  <c r="C63" i="15"/>
  <c r="D57" i="15"/>
  <c r="D59" i="15"/>
  <c r="D63" i="15"/>
  <c r="G53" i="15"/>
  <c r="G55" i="15"/>
  <c r="G57" i="15"/>
  <c r="G61" i="15"/>
  <c r="G63" i="15"/>
  <c r="G51" i="15"/>
  <c r="G59" i="15"/>
  <c r="H51" i="15"/>
  <c r="H53" i="15"/>
  <c r="H55" i="15"/>
  <c r="H57" i="15"/>
  <c r="H59" i="15"/>
  <c r="H61" i="15"/>
  <c r="H63" i="15"/>
  <c r="H145" i="23"/>
  <c r="H111" i="23"/>
  <c r="H128" i="23"/>
  <c r="H117" i="23"/>
  <c r="H76" i="23"/>
  <c r="H122" i="23"/>
  <c r="H80" i="23"/>
  <c r="H127" i="23"/>
  <c r="H116" i="23"/>
  <c r="H143" i="23"/>
  <c r="H85" i="23"/>
  <c r="H133" i="23"/>
  <c r="H70" i="23"/>
  <c r="H123" i="23"/>
  <c r="H88" i="23"/>
  <c r="H126" i="23"/>
  <c r="H89" i="23"/>
  <c r="H132" i="23"/>
  <c r="H142" i="23"/>
  <c r="H83" i="23"/>
  <c r="H105" i="23"/>
  <c r="H93" i="23"/>
  <c r="H109" i="23"/>
  <c r="H141" i="23"/>
  <c r="H131" i="23"/>
  <c r="H102" i="23"/>
  <c r="H78" i="23"/>
  <c r="H121" i="23"/>
  <c r="H147" i="23"/>
  <c r="H75" i="23"/>
  <c r="M43" i="22"/>
  <c r="B43" i="22"/>
  <c r="M42" i="22"/>
  <c r="B42" i="22"/>
  <c r="M41" i="22"/>
  <c r="B41" i="22"/>
  <c r="M40" i="22"/>
  <c r="B40" i="22"/>
  <c r="M39" i="22"/>
  <c r="B39" i="22"/>
  <c r="M38" i="22"/>
  <c r="B38" i="22"/>
  <c r="M37" i="22"/>
  <c r="B37" i="22"/>
  <c r="M36" i="22"/>
  <c r="B36" i="22"/>
  <c r="M35" i="22"/>
  <c r="B35" i="22"/>
  <c r="M34" i="22"/>
  <c r="B34" i="22"/>
  <c r="M33" i="22"/>
  <c r="B33" i="22"/>
  <c r="M32" i="22"/>
  <c r="B32" i="22"/>
  <c r="M31" i="22"/>
  <c r="B31" i="22"/>
  <c r="M30" i="22"/>
  <c r="B30" i="22"/>
  <c r="M29" i="22"/>
  <c r="B29" i="22"/>
  <c r="M28" i="22"/>
  <c r="B28" i="22"/>
  <c r="M27" i="22"/>
  <c r="B27" i="22"/>
  <c r="M26" i="22"/>
  <c r="B26" i="22"/>
  <c r="M25" i="22"/>
  <c r="B25" i="22"/>
  <c r="M24" i="22"/>
  <c r="B24" i="22"/>
  <c r="M23" i="22"/>
  <c r="B23" i="22"/>
  <c r="M22" i="22"/>
  <c r="B22" i="22"/>
  <c r="M21" i="22"/>
  <c r="B21" i="22"/>
  <c r="M20" i="22"/>
  <c r="B20" i="22"/>
  <c r="M19" i="22"/>
  <c r="B19" i="22"/>
  <c r="M18" i="22"/>
  <c r="B18" i="22"/>
  <c r="M17" i="22"/>
  <c r="B17" i="22"/>
  <c r="M16" i="22"/>
  <c r="B16" i="22"/>
  <c r="M15" i="22"/>
  <c r="B15" i="22"/>
  <c r="M14" i="22"/>
  <c r="B14" i="22"/>
  <c r="M13" i="22"/>
  <c r="B13" i="22"/>
  <c r="M12" i="22"/>
  <c r="B12" i="22"/>
  <c r="M11" i="22"/>
  <c r="B11" i="22"/>
  <c r="M10" i="22"/>
  <c r="B10" i="22"/>
  <c r="M9" i="22"/>
  <c r="B9" i="22"/>
  <c r="M8" i="22"/>
  <c r="B8" i="22"/>
  <c r="M7" i="22"/>
  <c r="B7" i="22"/>
  <c r="M6" i="22"/>
  <c r="B6" i="22"/>
  <c r="M5" i="22"/>
  <c r="B5" i="22"/>
  <c r="M46" i="21"/>
  <c r="B46" i="21"/>
  <c r="M45" i="21"/>
  <c r="B45" i="21"/>
  <c r="M44" i="21"/>
  <c r="B44" i="21"/>
  <c r="M43" i="21"/>
  <c r="B43" i="21"/>
  <c r="M42" i="21"/>
  <c r="B42" i="21"/>
  <c r="M41" i="21"/>
  <c r="B41" i="21"/>
  <c r="M40" i="21"/>
  <c r="B40" i="21"/>
  <c r="M39" i="21"/>
  <c r="B39" i="21"/>
  <c r="M38" i="21"/>
  <c r="B38" i="21"/>
  <c r="M37" i="21"/>
  <c r="B37" i="21"/>
  <c r="M36" i="21"/>
  <c r="B36" i="21"/>
  <c r="M35" i="21"/>
  <c r="B35" i="21"/>
  <c r="M34" i="21"/>
  <c r="B34" i="21"/>
  <c r="M33" i="21"/>
  <c r="B33" i="21"/>
  <c r="M32" i="21"/>
  <c r="B32" i="21"/>
  <c r="M31" i="21"/>
  <c r="B31" i="21"/>
  <c r="M30" i="21"/>
  <c r="B30" i="21"/>
  <c r="M29" i="21"/>
  <c r="B29" i="21"/>
  <c r="M28" i="21"/>
  <c r="B28" i="21"/>
  <c r="M27" i="21"/>
  <c r="B27" i="21"/>
  <c r="M26" i="21"/>
  <c r="B26" i="21"/>
  <c r="M25" i="21"/>
  <c r="B25" i="21"/>
  <c r="M24" i="21"/>
  <c r="B24" i="21"/>
  <c r="M23" i="21"/>
  <c r="B23" i="21"/>
  <c r="M22" i="21"/>
  <c r="B22" i="21"/>
  <c r="M21" i="21"/>
  <c r="B21" i="21"/>
  <c r="M20" i="21"/>
  <c r="B20" i="21"/>
  <c r="M19" i="21"/>
  <c r="B19" i="21"/>
  <c r="M18" i="21"/>
  <c r="B18" i="21"/>
  <c r="M17" i="21"/>
  <c r="B17" i="21"/>
  <c r="M16" i="21"/>
  <c r="B16" i="21"/>
  <c r="M15" i="21"/>
  <c r="B15" i="21"/>
  <c r="M14" i="21"/>
  <c r="B14" i="21"/>
  <c r="M13" i="21"/>
  <c r="B13" i="21"/>
  <c r="M12" i="21"/>
  <c r="B12" i="21"/>
  <c r="M11" i="21"/>
  <c r="B11" i="21"/>
  <c r="M10" i="21"/>
  <c r="B10" i="21"/>
  <c r="M9" i="21"/>
  <c r="B9" i="21"/>
  <c r="M8" i="21"/>
  <c r="B8" i="21"/>
  <c r="M7" i="21"/>
  <c r="B7" i="21"/>
  <c r="M6" i="21"/>
  <c r="B6" i="21"/>
  <c r="M5" i="21"/>
  <c r="B5" i="21"/>
  <c r="H36" i="17"/>
  <c r="H36" i="23" s="1"/>
  <c r="H35" i="17"/>
  <c r="H35" i="23" s="1"/>
  <c r="B6" i="2"/>
  <c r="B5"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D7" i="17" l="1"/>
  <c r="D7" i="23" s="1"/>
  <c r="D8" i="17"/>
  <c r="D8" i="23" s="1"/>
  <c r="E8" i="17"/>
  <c r="E8" i="23" s="1"/>
  <c r="F8" i="17"/>
  <c r="F8" i="23" s="1"/>
  <c r="G8" i="17"/>
  <c r="G8" i="23" s="1"/>
  <c r="H8" i="17"/>
  <c r="H8" i="23" s="1"/>
  <c r="D9" i="17"/>
  <c r="D9" i="23" s="1"/>
  <c r="E9" i="17"/>
  <c r="E9" i="23" s="1"/>
  <c r="F9" i="17"/>
  <c r="F9" i="23" s="1"/>
  <c r="G9" i="17"/>
  <c r="G9" i="23" s="1"/>
  <c r="H9" i="17"/>
  <c r="H9" i="23" s="1"/>
  <c r="D10" i="17"/>
  <c r="D10" i="23" s="1"/>
  <c r="E10" i="17"/>
  <c r="E10" i="23" s="1"/>
  <c r="F10" i="17"/>
  <c r="F10" i="23" s="1"/>
  <c r="G10" i="17"/>
  <c r="G10" i="23" s="1"/>
  <c r="H10" i="17"/>
  <c r="H10" i="23" s="1"/>
  <c r="D11" i="17"/>
  <c r="D11" i="23" s="1"/>
  <c r="E11" i="17"/>
  <c r="E11" i="23" s="1"/>
  <c r="F11" i="17"/>
  <c r="F11" i="23" s="1"/>
  <c r="G11" i="17"/>
  <c r="G11" i="23" s="1"/>
  <c r="H11" i="17"/>
  <c r="H11" i="23" s="1"/>
  <c r="D12" i="17"/>
  <c r="D12" i="23" s="1"/>
  <c r="E12" i="17"/>
  <c r="E12" i="23" s="1"/>
  <c r="F12" i="17"/>
  <c r="F12" i="23" s="1"/>
  <c r="G12" i="17"/>
  <c r="G12" i="23" s="1"/>
  <c r="H12" i="17"/>
  <c r="H12" i="23" s="1"/>
  <c r="D13" i="17"/>
  <c r="D13" i="23" s="1"/>
  <c r="E13" i="17"/>
  <c r="E13" i="23" s="1"/>
  <c r="F13" i="17"/>
  <c r="F13" i="23" s="1"/>
  <c r="G13" i="17"/>
  <c r="G13" i="23" s="1"/>
  <c r="H13" i="17"/>
  <c r="H13" i="23" s="1"/>
  <c r="D14" i="17"/>
  <c r="D14" i="23" s="1"/>
  <c r="E14" i="17"/>
  <c r="E14" i="23" s="1"/>
  <c r="F14" i="17"/>
  <c r="F14" i="23" s="1"/>
  <c r="G14" i="17"/>
  <c r="G14" i="23" s="1"/>
  <c r="H14" i="17"/>
  <c r="H14" i="23" s="1"/>
  <c r="D15" i="17"/>
  <c r="D15" i="23" s="1"/>
  <c r="E15" i="17"/>
  <c r="E15" i="23" s="1"/>
  <c r="F15" i="17"/>
  <c r="F15" i="23" s="1"/>
  <c r="G15" i="17"/>
  <c r="G15" i="23" s="1"/>
  <c r="H15" i="17"/>
  <c r="H15" i="23" s="1"/>
  <c r="D16" i="17"/>
  <c r="D16" i="23" s="1"/>
  <c r="E16" i="17"/>
  <c r="E16" i="23" s="1"/>
  <c r="F16" i="17"/>
  <c r="F16" i="23" s="1"/>
  <c r="G16" i="17"/>
  <c r="G16" i="23" s="1"/>
  <c r="H16" i="17"/>
  <c r="H16" i="23" s="1"/>
  <c r="D17" i="17"/>
  <c r="D17" i="23" s="1"/>
  <c r="E17" i="17"/>
  <c r="E17" i="23" s="1"/>
  <c r="F17" i="17"/>
  <c r="F17" i="23" s="1"/>
  <c r="G17" i="17"/>
  <c r="G17" i="23" s="1"/>
  <c r="H17" i="17"/>
  <c r="H17" i="23" s="1"/>
  <c r="D18" i="17"/>
  <c r="D18" i="23" s="1"/>
  <c r="E18" i="17"/>
  <c r="E18" i="23" s="1"/>
  <c r="F18" i="17"/>
  <c r="F18" i="23" s="1"/>
  <c r="G18" i="17"/>
  <c r="G18" i="23" s="1"/>
  <c r="H18" i="17"/>
  <c r="H18" i="23" s="1"/>
  <c r="D19" i="17"/>
  <c r="D19" i="23" s="1"/>
  <c r="E19" i="17"/>
  <c r="E19" i="23" s="1"/>
  <c r="F19" i="17"/>
  <c r="F19" i="23" s="1"/>
  <c r="H19" i="17"/>
  <c r="H19" i="23" s="1"/>
  <c r="D20" i="17"/>
  <c r="D20" i="23" s="1"/>
  <c r="E20" i="17"/>
  <c r="E20" i="23" s="1"/>
  <c r="F20" i="17"/>
  <c r="F20" i="23" s="1"/>
  <c r="G20" i="17"/>
  <c r="G20" i="23" s="1"/>
  <c r="H20" i="17"/>
  <c r="H20" i="23" s="1"/>
  <c r="D21" i="17"/>
  <c r="D21" i="23" s="1"/>
  <c r="E21" i="17"/>
  <c r="E21" i="23" s="1"/>
  <c r="F21" i="17"/>
  <c r="F21" i="23" s="1"/>
  <c r="G21" i="17"/>
  <c r="G21" i="23" s="1"/>
  <c r="H21" i="17"/>
  <c r="H21" i="23" s="1"/>
  <c r="D22" i="17"/>
  <c r="D22" i="23" s="1"/>
  <c r="E22" i="17"/>
  <c r="E22" i="23" s="1"/>
  <c r="F22" i="17"/>
  <c r="F22" i="23" s="1"/>
  <c r="G22" i="17"/>
  <c r="G22" i="23" s="1"/>
  <c r="H22" i="17"/>
  <c r="H22" i="23" s="1"/>
  <c r="D23" i="17"/>
  <c r="D23" i="23" s="1"/>
  <c r="E23" i="17"/>
  <c r="E23" i="23" s="1"/>
  <c r="F23" i="17"/>
  <c r="F23" i="23" s="1"/>
  <c r="G23" i="17"/>
  <c r="G23" i="23" s="1"/>
  <c r="H23" i="17"/>
  <c r="H23" i="23" s="1"/>
  <c r="D24" i="17"/>
  <c r="D24" i="23" s="1"/>
  <c r="E24" i="17"/>
  <c r="E24" i="23" s="1"/>
  <c r="F24" i="17"/>
  <c r="F24" i="23" s="1"/>
  <c r="G24" i="17"/>
  <c r="G24" i="23" s="1"/>
  <c r="H24" i="17"/>
  <c r="H24" i="23" s="1"/>
  <c r="D25" i="17"/>
  <c r="D25" i="23" s="1"/>
  <c r="E25" i="17"/>
  <c r="E25" i="23" s="1"/>
  <c r="F25" i="17"/>
  <c r="F25" i="23" s="1"/>
  <c r="G25" i="17"/>
  <c r="G25" i="23" s="1"/>
  <c r="H25" i="17"/>
  <c r="H25" i="23" s="1"/>
  <c r="D26" i="17"/>
  <c r="D26" i="23" s="1"/>
  <c r="E26" i="17"/>
  <c r="E26" i="23" s="1"/>
  <c r="F26" i="17"/>
  <c r="F26" i="23" s="1"/>
  <c r="G26" i="17"/>
  <c r="G26" i="23" s="1"/>
  <c r="H26" i="17"/>
  <c r="H26" i="23" s="1"/>
  <c r="D27" i="17"/>
  <c r="D27" i="23" s="1"/>
  <c r="E27" i="17"/>
  <c r="E27" i="23" s="1"/>
  <c r="F27" i="17"/>
  <c r="F27" i="23" s="1"/>
  <c r="G27" i="17"/>
  <c r="G27" i="23" s="1"/>
  <c r="H27" i="17"/>
  <c r="H27" i="23" s="1"/>
  <c r="D28" i="17"/>
  <c r="D28" i="23" s="1"/>
  <c r="E28" i="17"/>
  <c r="E28" i="23" s="1"/>
  <c r="F28" i="17"/>
  <c r="F28" i="23" s="1"/>
  <c r="G28" i="17"/>
  <c r="G28" i="23" s="1"/>
  <c r="H28" i="17"/>
  <c r="H28" i="23" s="1"/>
  <c r="D29" i="17"/>
  <c r="D29" i="23" s="1"/>
  <c r="E29" i="17"/>
  <c r="E29" i="23" s="1"/>
  <c r="F29" i="17"/>
  <c r="F29" i="23" s="1"/>
  <c r="G29" i="17"/>
  <c r="G29" i="23" s="1"/>
  <c r="H29" i="17"/>
  <c r="H29" i="23" s="1"/>
  <c r="D30" i="17"/>
  <c r="D30" i="23" s="1"/>
  <c r="E30" i="17"/>
  <c r="E30" i="23" s="1"/>
  <c r="F30" i="17"/>
  <c r="F30" i="23" s="1"/>
  <c r="G30" i="17"/>
  <c r="G30" i="23" s="1"/>
  <c r="H30" i="17"/>
  <c r="H30" i="23" s="1"/>
  <c r="D31" i="17"/>
  <c r="D31" i="23" s="1"/>
  <c r="E31" i="17"/>
  <c r="E31" i="23" s="1"/>
  <c r="F31" i="17"/>
  <c r="F31" i="23" s="1"/>
  <c r="G31" i="17"/>
  <c r="G31" i="23" s="1"/>
  <c r="H31" i="17"/>
  <c r="H31" i="23" s="1"/>
  <c r="D32" i="17"/>
  <c r="D32" i="23" s="1"/>
  <c r="E32" i="17"/>
  <c r="E32" i="23" s="1"/>
  <c r="F32" i="17"/>
  <c r="F32" i="23" s="1"/>
  <c r="G32" i="17"/>
  <c r="G32" i="23" s="1"/>
  <c r="H32" i="17"/>
  <c r="H32" i="23" s="1"/>
  <c r="D33" i="17"/>
  <c r="D33" i="23" s="1"/>
  <c r="E33" i="17"/>
  <c r="E33" i="23" s="1"/>
  <c r="F33" i="17"/>
  <c r="F33" i="23" s="1"/>
  <c r="G33" i="17"/>
  <c r="G33" i="23" s="1"/>
  <c r="H33" i="17"/>
  <c r="H33" i="23" s="1"/>
  <c r="D34" i="17"/>
  <c r="D34" i="23" s="1"/>
  <c r="E34" i="17"/>
  <c r="E34" i="23" s="1"/>
  <c r="F34" i="17"/>
  <c r="F34" i="23" s="1"/>
  <c r="G34" i="17"/>
  <c r="G34" i="23" s="1"/>
  <c r="H34" i="17"/>
  <c r="H34" i="23" s="1"/>
  <c r="D35" i="17"/>
  <c r="D35" i="23" s="1"/>
  <c r="E35" i="17"/>
  <c r="E35" i="23" s="1"/>
  <c r="F35" i="17"/>
  <c r="F35" i="23" s="1"/>
  <c r="G35" i="17"/>
  <c r="G35" i="23" s="1"/>
  <c r="D36" i="17"/>
  <c r="D36" i="23" s="1"/>
  <c r="E36" i="17"/>
  <c r="E36" i="23" s="1"/>
  <c r="F36" i="17"/>
  <c r="F36" i="23" s="1"/>
  <c r="G36" i="17"/>
  <c r="G36" i="23" s="1"/>
  <c r="D37" i="17"/>
  <c r="D37" i="23" s="1"/>
  <c r="E37" i="17"/>
  <c r="E37" i="23" s="1"/>
  <c r="F37" i="17"/>
  <c r="F37" i="23" s="1"/>
  <c r="G37" i="17"/>
  <c r="G37" i="23" s="1"/>
  <c r="H37" i="17"/>
  <c r="H37" i="23" s="1"/>
  <c r="D38" i="17"/>
  <c r="D38" i="23" s="1"/>
  <c r="E38" i="17"/>
  <c r="E38" i="23" s="1"/>
  <c r="F38" i="17"/>
  <c r="F38" i="23" s="1"/>
  <c r="G38" i="17"/>
  <c r="G38" i="23" s="1"/>
  <c r="H38" i="17"/>
  <c r="H38" i="23" s="1"/>
  <c r="D39" i="17"/>
  <c r="D39" i="23" s="1"/>
  <c r="E39" i="17"/>
  <c r="E39" i="23" s="1"/>
  <c r="F39" i="17"/>
  <c r="F39" i="23" s="1"/>
  <c r="G39" i="17"/>
  <c r="G39" i="23" s="1"/>
  <c r="H39" i="17"/>
  <c r="H39" i="23" s="1"/>
  <c r="D40" i="17"/>
  <c r="D40" i="23" s="1"/>
  <c r="E40" i="17"/>
  <c r="E40" i="23" s="1"/>
  <c r="F40" i="17"/>
  <c r="F40" i="23" s="1"/>
  <c r="G40" i="17"/>
  <c r="G40" i="23" s="1"/>
  <c r="H40" i="17"/>
  <c r="H40" i="23" s="1"/>
  <c r="D41" i="17"/>
  <c r="D41" i="23" s="1"/>
  <c r="E41" i="17"/>
  <c r="E41" i="23" s="1"/>
  <c r="F41" i="17"/>
  <c r="F41" i="23" s="1"/>
  <c r="G41" i="17"/>
  <c r="G41" i="23" s="1"/>
  <c r="H41" i="17"/>
  <c r="H41" i="23" s="1"/>
  <c r="D42" i="17"/>
  <c r="D42" i="23" s="1"/>
  <c r="E42" i="17"/>
  <c r="E42" i="23" s="1"/>
  <c r="F42" i="17"/>
  <c r="F42" i="23" s="1"/>
  <c r="G42" i="17"/>
  <c r="G42" i="23" s="1"/>
  <c r="H42" i="17"/>
  <c r="H42" i="23" s="1"/>
  <c r="D43" i="17"/>
  <c r="D43" i="23" s="1"/>
  <c r="E43" i="17"/>
  <c r="E43" i="23" s="1"/>
  <c r="F43" i="17"/>
  <c r="F43" i="23" s="1"/>
  <c r="G43" i="17"/>
  <c r="G43" i="23" s="1"/>
  <c r="H43" i="17"/>
  <c r="H43" i="23" s="1"/>
  <c r="D44" i="17"/>
  <c r="D44" i="23" s="1"/>
  <c r="E44" i="17"/>
  <c r="E44" i="23" s="1"/>
  <c r="F44" i="17"/>
  <c r="F44" i="23" s="1"/>
  <c r="G44" i="17"/>
  <c r="G44" i="23" s="1"/>
  <c r="H44" i="17"/>
  <c r="H44" i="23" s="1"/>
  <c r="D45" i="17"/>
  <c r="D45" i="23" s="1"/>
  <c r="E45" i="17"/>
  <c r="E45" i="23" s="1"/>
  <c r="F45" i="17"/>
  <c r="F45" i="23" s="1"/>
  <c r="H45" i="17"/>
  <c r="H45" i="23" s="1"/>
  <c r="D46" i="17"/>
  <c r="D46" i="23" s="1"/>
  <c r="E46" i="17"/>
  <c r="E46" i="23" s="1"/>
  <c r="F46" i="17"/>
  <c r="F46" i="23" s="1"/>
  <c r="G46" i="17"/>
  <c r="G46" i="23" s="1"/>
  <c r="H46" i="17"/>
  <c r="H46" i="23" s="1"/>
  <c r="D47" i="17"/>
  <c r="D47" i="23" s="1"/>
  <c r="E47" i="17"/>
  <c r="E47" i="23" s="1"/>
  <c r="F47" i="17"/>
  <c r="F47" i="23" s="1"/>
  <c r="G47" i="17"/>
  <c r="G47" i="23" s="1"/>
  <c r="H47" i="17"/>
  <c r="H47" i="23" s="1"/>
  <c r="D48" i="17"/>
  <c r="D48" i="23" s="1"/>
  <c r="E48" i="17"/>
  <c r="E48" i="23" s="1"/>
  <c r="F48" i="17"/>
  <c r="F48" i="23" s="1"/>
  <c r="G48" i="17"/>
  <c r="G48" i="23" s="1"/>
  <c r="H48" i="17"/>
  <c r="H48" i="23" s="1"/>
  <c r="D49" i="17"/>
  <c r="D49" i="23" s="1"/>
  <c r="E49" i="17"/>
  <c r="E49" i="23" s="1"/>
  <c r="F49" i="17"/>
  <c r="F49" i="23" s="1"/>
  <c r="G49" i="17"/>
  <c r="G49" i="23" s="1"/>
  <c r="H49" i="17"/>
  <c r="H49" i="23" s="1"/>
  <c r="D50" i="17"/>
  <c r="D50" i="23" s="1"/>
  <c r="E50" i="17"/>
  <c r="E50" i="23" s="1"/>
  <c r="F50" i="17"/>
  <c r="F50" i="23" s="1"/>
  <c r="G50" i="17"/>
  <c r="G50" i="23" s="1"/>
  <c r="H50" i="17"/>
  <c r="H50" i="23" s="1"/>
  <c r="D51" i="17"/>
  <c r="D51" i="23" s="1"/>
  <c r="E51" i="17"/>
  <c r="E51" i="23" s="1"/>
  <c r="F51" i="17"/>
  <c r="F51" i="23" s="1"/>
  <c r="G51" i="17"/>
  <c r="G51" i="23" s="1"/>
  <c r="H51" i="17"/>
  <c r="H51" i="23" s="1"/>
  <c r="D52" i="17"/>
  <c r="D52" i="23" s="1"/>
  <c r="E52" i="17"/>
  <c r="E52" i="23" s="1"/>
  <c r="F52" i="17"/>
  <c r="F52" i="23" s="1"/>
  <c r="G52" i="17"/>
  <c r="G52" i="23" s="1"/>
  <c r="H52" i="17"/>
  <c r="H52" i="23" s="1"/>
  <c r="D53" i="17"/>
  <c r="D53" i="23" s="1"/>
  <c r="E53" i="17"/>
  <c r="E53" i="23" s="1"/>
  <c r="F53" i="17"/>
  <c r="F53" i="23" s="1"/>
  <c r="G53" i="17"/>
  <c r="G53" i="23" s="1"/>
  <c r="H53" i="17"/>
  <c r="H53" i="23" s="1"/>
  <c r="D54" i="17"/>
  <c r="D54" i="23" s="1"/>
  <c r="E54" i="17"/>
  <c r="E54" i="23" s="1"/>
  <c r="F54" i="17"/>
  <c r="F54" i="23" s="1"/>
  <c r="G54" i="17"/>
  <c r="G54" i="23" s="1"/>
  <c r="H54" i="17"/>
  <c r="H54" i="23" s="1"/>
  <c r="D55" i="17"/>
  <c r="E55" i="17"/>
  <c r="F55" i="17"/>
  <c r="G55" i="17"/>
  <c r="D56" i="17"/>
  <c r="D57" i="23" s="1"/>
  <c r="E56" i="17"/>
  <c r="F56" i="17"/>
  <c r="F57" i="23" s="1"/>
  <c r="G56" i="17"/>
  <c r="G57" i="23" s="1"/>
  <c r="H56" i="17"/>
  <c r="H56" i="23" s="1"/>
  <c r="D57" i="17"/>
  <c r="E57" i="17"/>
  <c r="E58" i="23" s="1"/>
  <c r="F57" i="17"/>
  <c r="G57" i="17"/>
  <c r="G58" i="23" s="1"/>
  <c r="H57" i="17"/>
  <c r="H57" i="23" s="1"/>
  <c r="D58" i="17"/>
  <c r="E58" i="17"/>
  <c r="F58" i="17"/>
  <c r="H58" i="17"/>
  <c r="D59" i="17"/>
  <c r="E59" i="17"/>
  <c r="F59" i="17"/>
  <c r="G59" i="17"/>
  <c r="H59" i="17"/>
  <c r="D60" i="17"/>
  <c r="E60" i="17"/>
  <c r="F60" i="17"/>
  <c r="G60" i="17"/>
  <c r="G61" i="23" s="1"/>
  <c r="H60" i="17"/>
  <c r="D61" i="17"/>
  <c r="D62" i="23" s="1"/>
  <c r="E61" i="17"/>
  <c r="E62" i="23" s="1"/>
  <c r="F61" i="17"/>
  <c r="F62" i="23" s="1"/>
  <c r="G61" i="17"/>
  <c r="H61" i="17"/>
  <c r="D62" i="17"/>
  <c r="E62" i="17"/>
  <c r="E63" i="23" s="1"/>
  <c r="F62" i="17"/>
  <c r="G62" i="17"/>
  <c r="H62" i="17"/>
  <c r="D63" i="17"/>
  <c r="E63" i="17"/>
  <c r="F63" i="17"/>
  <c r="G63" i="17"/>
  <c r="H63" i="17"/>
  <c r="D64" i="17"/>
  <c r="E64" i="17"/>
  <c r="F64" i="17"/>
  <c r="G64" i="17"/>
  <c r="H64" i="17"/>
  <c r="D65" i="17"/>
  <c r="D66" i="23" s="1"/>
  <c r="E65" i="17"/>
  <c r="F65" i="17"/>
  <c r="F66" i="23" s="1"/>
  <c r="G65" i="17"/>
  <c r="G66" i="23" s="1"/>
  <c r="H65" i="17"/>
  <c r="H66" i="23" s="1"/>
  <c r="D66" i="17"/>
  <c r="E66" i="17"/>
  <c r="E67" i="23" s="1"/>
  <c r="F66" i="17"/>
  <c r="G66" i="17"/>
  <c r="H66" i="17"/>
  <c r="D67" i="17"/>
  <c r="D68" i="23" s="1"/>
  <c r="E67" i="17"/>
  <c r="E68" i="23" s="1"/>
  <c r="F67" i="17"/>
  <c r="F68" i="23" s="1"/>
  <c r="G67" i="17"/>
  <c r="G68" i="23" s="1"/>
  <c r="H67" i="17"/>
  <c r="H68" i="23" s="1"/>
  <c r="E7" i="17"/>
  <c r="E7" i="23" s="1"/>
  <c r="F7" i="17"/>
  <c r="F7" i="23" s="1"/>
  <c r="H7" i="17"/>
  <c r="H7" i="23" s="1"/>
  <c r="M5" i="2"/>
  <c r="M56" i="2"/>
  <c r="M43" i="2"/>
  <c r="M17" i="2"/>
  <c r="M5" i="5"/>
  <c r="M21" i="5" s="1"/>
  <c r="B21" i="5"/>
  <c r="I7" i="5"/>
  <c r="I8" i="5"/>
  <c r="I6" i="5"/>
  <c r="I5" i="5"/>
  <c r="H6" i="5"/>
  <c r="H7" i="5"/>
  <c r="H8" i="5"/>
  <c r="H5" i="5"/>
  <c r="B5" i="5"/>
  <c r="B13" i="5" s="1"/>
  <c r="B6" i="5"/>
  <c r="B14" i="5" s="1"/>
  <c r="B7" i="5"/>
  <c r="B15" i="5" s="1"/>
  <c r="B8" i="5"/>
  <c r="B16" i="5" s="1"/>
  <c r="H62" i="23" l="1"/>
  <c r="E65" i="23"/>
  <c r="H60" i="23"/>
  <c r="E56" i="23"/>
  <c r="E55" i="23"/>
  <c r="E66" i="23"/>
  <c r="G65" i="23"/>
  <c r="F56" i="23"/>
  <c r="F55" i="23"/>
  <c r="H61" i="23"/>
  <c r="D65" i="23"/>
  <c r="F60" i="23"/>
  <c r="E64" i="23"/>
  <c r="H59" i="23"/>
  <c r="F65" i="23"/>
  <c r="H63" i="23"/>
  <c r="E59" i="23"/>
  <c r="E61" i="23"/>
  <c r="D61" i="23"/>
  <c r="G60" i="23"/>
  <c r="G59" i="23"/>
  <c r="D56" i="23"/>
  <c r="D55" i="23"/>
  <c r="F64" i="23"/>
  <c r="G63" i="23"/>
  <c r="D59" i="23"/>
  <c r="H64" i="23"/>
  <c r="E60" i="23"/>
  <c r="D60" i="23"/>
  <c r="D64" i="23"/>
  <c r="H67" i="23"/>
  <c r="F63" i="23"/>
  <c r="H58" i="23"/>
  <c r="F61" i="23"/>
  <c r="G56" i="23"/>
  <c r="G55" i="23"/>
  <c r="F59" i="23"/>
  <c r="G67" i="23"/>
  <c r="E57" i="23"/>
  <c r="H65" i="23"/>
  <c r="G64" i="23"/>
  <c r="F67" i="23"/>
  <c r="D63" i="23"/>
  <c r="F58" i="23"/>
  <c r="D67" i="23"/>
  <c r="G62" i="23"/>
  <c r="D58" i="23"/>
  <c r="G67" i="2"/>
  <c r="G68" i="2"/>
  <c r="G69" i="2"/>
  <c r="G66" i="2"/>
  <c r="G70" i="2"/>
  <c r="G22" i="22"/>
  <c r="G42" i="21"/>
  <c r="G20" i="21"/>
  <c r="G7" i="22"/>
  <c r="G27" i="21"/>
  <c r="G5" i="21"/>
  <c r="G19" i="21"/>
  <c r="G28" i="22"/>
  <c r="G13" i="22"/>
  <c r="G33" i="21"/>
  <c r="G11" i="21"/>
  <c r="G25" i="21"/>
  <c r="G41" i="22"/>
  <c r="G39" i="21"/>
  <c r="G26" i="22"/>
  <c r="G24" i="21"/>
  <c r="G31" i="21"/>
  <c r="G40" i="22"/>
  <c r="G45" i="21"/>
  <c r="G30" i="21"/>
  <c r="G8" i="21"/>
  <c r="G39" i="22"/>
  <c r="G9" i="22"/>
  <c r="G14" i="21"/>
  <c r="G23" i="22"/>
  <c r="G8" i="22"/>
  <c r="G37" i="22"/>
  <c r="G29" i="22"/>
  <c r="G26" i="21"/>
  <c r="G19" i="22"/>
  <c r="G33" i="22"/>
  <c r="G38" i="21"/>
  <c r="G23" i="21"/>
  <c r="G17" i="22"/>
  <c r="G7" i="21"/>
  <c r="G36" i="22"/>
  <c r="G14" i="22"/>
  <c r="G34" i="21"/>
  <c r="G12" i="21"/>
  <c r="G43" i="22"/>
  <c r="G21" i="22"/>
  <c r="G41" i="21"/>
  <c r="G6" i="22"/>
  <c r="G35" i="22"/>
  <c r="G34" i="22"/>
  <c r="G32" i="21"/>
  <c r="G17" i="21"/>
  <c r="G46" i="21"/>
  <c r="G9" i="21"/>
  <c r="G16" i="21"/>
  <c r="G25" i="22"/>
  <c r="G32" i="22"/>
  <c r="G37" i="21"/>
  <c r="G24" i="22"/>
  <c r="G29" i="21"/>
  <c r="G38" i="22"/>
  <c r="G30" i="22"/>
  <c r="G6" i="21"/>
  <c r="G42" i="22"/>
  <c r="G20" i="22"/>
  <c r="G40" i="21"/>
  <c r="G18" i="21"/>
  <c r="G27" i="22"/>
  <c r="G5" i="22"/>
  <c r="G12" i="22"/>
  <c r="G10" i="21"/>
  <c r="G11" i="22"/>
  <c r="G18" i="22"/>
  <c r="G10" i="22"/>
  <c r="G15" i="21"/>
  <c r="G44" i="21"/>
  <c r="G22" i="21"/>
  <c r="G31" i="22"/>
  <c r="G36" i="21"/>
  <c r="G43" i="21"/>
  <c r="G15" i="22"/>
  <c r="G16" i="22"/>
  <c r="G21" i="21"/>
  <c r="G28" i="21"/>
  <c r="G35" i="21"/>
  <c r="G13" i="21"/>
  <c r="F67" i="2"/>
  <c r="F68" i="2"/>
  <c r="F69" i="2"/>
  <c r="F66" i="2"/>
  <c r="F70" i="2"/>
  <c r="F33" i="22"/>
  <c r="F32" i="22"/>
  <c r="F18" i="22"/>
  <c r="F38" i="22"/>
  <c r="F27" i="22"/>
  <c r="F16" i="22"/>
  <c r="F5" i="22"/>
  <c r="F36" i="21"/>
  <c r="F25" i="21"/>
  <c r="F14" i="21"/>
  <c r="F43" i="22"/>
  <c r="F21" i="22"/>
  <c r="F10" i="22"/>
  <c r="F41" i="21"/>
  <c r="F30" i="21"/>
  <c r="F19" i="21"/>
  <c r="F8" i="21"/>
  <c r="F37" i="22"/>
  <c r="F26" i="22"/>
  <c r="F15" i="22"/>
  <c r="F46" i="21"/>
  <c r="F35" i="21"/>
  <c r="F24" i="21"/>
  <c r="F13" i="21"/>
  <c r="F42" i="22"/>
  <c r="F31" i="22"/>
  <c r="F20" i="22"/>
  <c r="F9" i="22"/>
  <c r="F40" i="21"/>
  <c r="F29" i="21"/>
  <c r="F18" i="21"/>
  <c r="F7" i="21"/>
  <c r="F14" i="22"/>
  <c r="F45" i="21"/>
  <c r="F34" i="21"/>
  <c r="F12" i="21"/>
  <c r="F41" i="22"/>
  <c r="F17" i="21"/>
  <c r="F24" i="22"/>
  <c r="F13" i="22"/>
  <c r="F44" i="21"/>
  <c r="F22" i="21"/>
  <c r="F11" i="21"/>
  <c r="F29" i="22"/>
  <c r="F38" i="21"/>
  <c r="F27" i="21"/>
  <c r="F5" i="21"/>
  <c r="F23" i="22"/>
  <c r="F12" i="22"/>
  <c r="F43" i="21"/>
  <c r="F21" i="21"/>
  <c r="F39" i="22"/>
  <c r="F17" i="22"/>
  <c r="F26" i="21"/>
  <c r="F11" i="22"/>
  <c r="F31" i="21"/>
  <c r="F9" i="21"/>
  <c r="F36" i="22"/>
  <c r="F25" i="22"/>
  <c r="F23" i="21"/>
  <c r="F30" i="22"/>
  <c r="F19" i="22"/>
  <c r="F8" i="22"/>
  <c r="F39" i="21"/>
  <c r="F28" i="21"/>
  <c r="F6" i="21"/>
  <c r="F35" i="22"/>
  <c r="F33" i="21"/>
  <c r="F40" i="22"/>
  <c r="F7" i="22"/>
  <c r="F16" i="21"/>
  <c r="F34" i="22"/>
  <c r="F32" i="21"/>
  <c r="F28" i="22"/>
  <c r="F15" i="21"/>
  <c r="F20" i="21"/>
  <c r="F10" i="21"/>
  <c r="F6" i="22"/>
  <c r="F42" i="21"/>
  <c r="F37" i="21"/>
  <c r="F22" i="22"/>
  <c r="E68" i="2"/>
  <c r="E66" i="2"/>
  <c r="E67" i="2"/>
  <c r="E69" i="2"/>
  <c r="E70" i="2"/>
  <c r="E22" i="22"/>
  <c r="E42" i="21"/>
  <c r="E20" i="21"/>
  <c r="E24" i="21"/>
  <c r="E39" i="22"/>
  <c r="E30" i="22"/>
  <c r="E8" i="22"/>
  <c r="E43" i="22"/>
  <c r="E41" i="21"/>
  <c r="E34" i="22"/>
  <c r="E32" i="21"/>
  <c r="E10" i="21"/>
  <c r="E23" i="21"/>
  <c r="E38" i="22"/>
  <c r="E16" i="22"/>
  <c r="E36" i="21"/>
  <c r="E7" i="22"/>
  <c r="E5" i="21"/>
  <c r="E20" i="22"/>
  <c r="E33" i="22"/>
  <c r="E11" i="22"/>
  <c r="E31" i="21"/>
  <c r="E44" i="21"/>
  <c r="E15" i="22"/>
  <c r="E35" i="21"/>
  <c r="E6" i="22"/>
  <c r="E17" i="21"/>
  <c r="E10" i="22"/>
  <c r="E8" i="21"/>
  <c r="E23" i="22"/>
  <c r="E34" i="21"/>
  <c r="E27" i="22"/>
  <c r="E38" i="21"/>
  <c r="E7" i="21"/>
  <c r="E35" i="22"/>
  <c r="E13" i="22"/>
  <c r="E33" i="21"/>
  <c r="E11" i="21"/>
  <c r="E46" i="21"/>
  <c r="E17" i="22"/>
  <c r="E37" i="21"/>
  <c r="E15" i="21"/>
  <c r="E28" i="21"/>
  <c r="E6" i="21"/>
  <c r="E21" i="22"/>
  <c r="E12" i="22"/>
  <c r="E25" i="22"/>
  <c r="E45" i="21"/>
  <c r="E14" i="21"/>
  <c r="E29" i="22"/>
  <c r="E27" i="21"/>
  <c r="E40" i="21"/>
  <c r="E18" i="21"/>
  <c r="E9" i="21"/>
  <c r="E24" i="22"/>
  <c r="E22" i="21"/>
  <c r="E37" i="22"/>
  <c r="E13" i="21"/>
  <c r="E26" i="21"/>
  <c r="E39" i="21"/>
  <c r="E30" i="21"/>
  <c r="E21" i="21"/>
  <c r="E5" i="22"/>
  <c r="E18" i="22"/>
  <c r="E31" i="22"/>
  <c r="E26" i="22"/>
  <c r="E19" i="21"/>
  <c r="E42" i="22"/>
  <c r="E19" i="22"/>
  <c r="E43" i="21"/>
  <c r="E25" i="21"/>
  <c r="E41" i="22"/>
  <c r="E29" i="21"/>
  <c r="E14" i="22"/>
  <c r="E40" i="22"/>
  <c r="E16" i="21"/>
  <c r="E28" i="22"/>
  <c r="E32" i="22"/>
  <c r="E36" i="22"/>
  <c r="E12" i="21"/>
  <c r="E9" i="22"/>
  <c r="D70" i="2"/>
  <c r="D67" i="2"/>
  <c r="D69" i="2"/>
  <c r="D68" i="2"/>
  <c r="D66" i="2"/>
  <c r="D16" i="22"/>
  <c r="D16" i="21"/>
  <c r="D43" i="22"/>
  <c r="D6" i="22"/>
  <c r="D26" i="21"/>
  <c r="D35" i="22"/>
  <c r="D24" i="22"/>
  <c r="D13" i="22"/>
  <c r="D44" i="21"/>
  <c r="D33" i="21"/>
  <c r="D22" i="21"/>
  <c r="D11" i="21"/>
  <c r="D31" i="22"/>
  <c r="D20" i="22"/>
  <c r="D9" i="22"/>
  <c r="D40" i="21"/>
  <c r="D18" i="21"/>
  <c r="H18" i="21" s="1"/>
  <c r="I18" i="21" s="1"/>
  <c r="T18" i="21" s="1"/>
  <c r="D7" i="21"/>
  <c r="D38" i="22"/>
  <c r="D36" i="21"/>
  <c r="D14" i="21"/>
  <c r="D28" i="22"/>
  <c r="D42" i="22"/>
  <c r="D29" i="21"/>
  <c r="D27" i="22"/>
  <c r="D5" i="22"/>
  <c r="D25" i="21"/>
  <c r="D34" i="22"/>
  <c r="D23" i="22"/>
  <c r="D12" i="22"/>
  <c r="D43" i="21"/>
  <c r="D32" i="21"/>
  <c r="D21" i="21"/>
  <c r="D10" i="21"/>
  <c r="D41" i="22"/>
  <c r="D30" i="22"/>
  <c r="D19" i="22"/>
  <c r="D8" i="22"/>
  <c r="D39" i="21"/>
  <c r="D28" i="21"/>
  <c r="D17" i="21"/>
  <c r="D37" i="22"/>
  <c r="D26" i="22"/>
  <c r="D15" i="22"/>
  <c r="D46" i="21"/>
  <c r="D35" i="21"/>
  <c r="D24" i="21"/>
  <c r="D13" i="21"/>
  <c r="D33" i="22"/>
  <c r="D22" i="22"/>
  <c r="D11" i="22"/>
  <c r="D42" i="21"/>
  <c r="D31" i="21"/>
  <c r="D20" i="21"/>
  <c r="D9" i="21"/>
  <c r="D29" i="22"/>
  <c r="H29" i="22" s="1"/>
  <c r="I29" i="22" s="1"/>
  <c r="A134" i="17" s="1"/>
  <c r="D18" i="22"/>
  <c r="D7" i="22"/>
  <c r="D38" i="21"/>
  <c r="D27" i="21"/>
  <c r="H27" i="21" s="1"/>
  <c r="I27" i="21" s="1"/>
  <c r="A85" i="24" s="1"/>
  <c r="D5" i="21"/>
  <c r="D36" i="22"/>
  <c r="D14" i="22"/>
  <c r="D45" i="21"/>
  <c r="D41" i="21"/>
  <c r="D30" i="21"/>
  <c r="D19" i="21"/>
  <c r="D17" i="22"/>
  <c r="D15" i="21"/>
  <c r="D6" i="21"/>
  <c r="D12" i="21"/>
  <c r="D8" i="21"/>
  <c r="D40" i="22"/>
  <c r="D25" i="22"/>
  <c r="D34" i="21"/>
  <c r="D23" i="21"/>
  <c r="D21" i="22"/>
  <c r="D39" i="22"/>
  <c r="D32" i="22"/>
  <c r="D37" i="21"/>
  <c r="D10" i="22"/>
  <c r="F17" i="2"/>
  <c r="F43" i="2"/>
  <c r="F5" i="2"/>
  <c r="I15" i="5"/>
  <c r="I14" i="5"/>
  <c r="I13" i="5"/>
  <c r="D43" i="2"/>
  <c r="D56" i="2"/>
  <c r="D5" i="2"/>
  <c r="D17" i="2"/>
  <c r="G5" i="2"/>
  <c r="G17" i="2"/>
  <c r="G43" i="2"/>
  <c r="G56" i="2"/>
  <c r="E43" i="2"/>
  <c r="F56" i="2"/>
  <c r="E56" i="2"/>
  <c r="E5" i="2"/>
  <c r="E17" i="2"/>
  <c r="M12" i="3"/>
  <c r="B18" i="5"/>
  <c r="H38" i="22" l="1"/>
  <c r="I38" i="22" s="1"/>
  <c r="A144" i="23" s="1"/>
  <c r="H70" i="2"/>
  <c r="I70" i="2" s="1"/>
  <c r="H17" i="21"/>
  <c r="I17" i="21" s="1"/>
  <c r="J17" i="21" s="1"/>
  <c r="H8" i="21"/>
  <c r="I8" i="21" s="1"/>
  <c r="T8" i="21" s="1"/>
  <c r="H8" i="22"/>
  <c r="I8" i="22" s="1"/>
  <c r="A114" i="23" s="1"/>
  <c r="H68" i="2"/>
  <c r="I68" i="2" s="1"/>
  <c r="T68" i="2" s="1"/>
  <c r="H19" i="22"/>
  <c r="I19" i="22" s="1"/>
  <c r="A125" i="23" s="1"/>
  <c r="H5" i="21"/>
  <c r="I5" i="21" s="1"/>
  <c r="T5" i="21" s="1"/>
  <c r="H18" i="22"/>
  <c r="I18" i="22" s="1"/>
  <c r="T18" i="22" s="1"/>
  <c r="H31" i="22"/>
  <c r="I31" i="22" s="1"/>
  <c r="P31" i="22" s="1"/>
  <c r="H40" i="22"/>
  <c r="I40" i="22" s="1"/>
  <c r="T40" i="22" s="1"/>
  <c r="H5" i="22"/>
  <c r="I5" i="22" s="1"/>
  <c r="T5" i="22" s="1"/>
  <c r="H67" i="2"/>
  <c r="I67" i="2" s="1"/>
  <c r="J67" i="2" s="1"/>
  <c r="H11" i="22"/>
  <c r="I11" i="22" s="1"/>
  <c r="V11" i="22" s="1"/>
  <c r="U11" i="22" s="1"/>
  <c r="H27" i="22"/>
  <c r="I27" i="22" s="1"/>
  <c r="P27" i="22" s="1"/>
  <c r="B127" i="24" s="1"/>
  <c r="H20" i="22"/>
  <c r="I20" i="22" s="1"/>
  <c r="A120" i="24" s="1"/>
  <c r="H41" i="22"/>
  <c r="I41" i="22" s="1"/>
  <c r="J41" i="22" s="1"/>
  <c r="H7" i="21"/>
  <c r="I7" i="21" s="1"/>
  <c r="V7" i="21" s="1"/>
  <c r="U7" i="21" s="1"/>
  <c r="H40" i="21"/>
  <c r="I40" i="21" s="1"/>
  <c r="A104" i="23" s="1"/>
  <c r="H21" i="21"/>
  <c r="I21" i="21" s="1"/>
  <c r="P21" i="21" s="1"/>
  <c r="H22" i="22"/>
  <c r="I22" i="22" s="1"/>
  <c r="A128" i="23" s="1"/>
  <c r="H34" i="22"/>
  <c r="I34" i="22" s="1"/>
  <c r="A139" i="17" s="1"/>
  <c r="P29" i="22"/>
  <c r="B134" i="17" s="1"/>
  <c r="C134" i="17" s="1"/>
  <c r="H33" i="22"/>
  <c r="I33" i="22" s="1"/>
  <c r="T33" i="22" s="1"/>
  <c r="H14" i="22"/>
  <c r="I14" i="22" s="1"/>
  <c r="A119" i="17" s="1"/>
  <c r="H28" i="21"/>
  <c r="I28" i="21" s="1"/>
  <c r="A92" i="23" s="1"/>
  <c r="H38" i="21"/>
  <c r="I38" i="21" s="1"/>
  <c r="A96" i="24" s="1"/>
  <c r="H24" i="22"/>
  <c r="I24" i="22" s="1"/>
  <c r="P24" i="22" s="1"/>
  <c r="B129" i="17" s="1"/>
  <c r="H6" i="21"/>
  <c r="I6" i="21" s="1"/>
  <c r="P6" i="21" s="1"/>
  <c r="B69" i="17" s="1"/>
  <c r="H23" i="22"/>
  <c r="I23" i="22" s="1"/>
  <c r="J23" i="22" s="1"/>
  <c r="H36" i="22"/>
  <c r="I36" i="22" s="1"/>
  <c r="A136" i="24" s="1"/>
  <c r="J27" i="21"/>
  <c r="H10" i="22"/>
  <c r="I10" i="22" s="1"/>
  <c r="P10" i="22" s="1"/>
  <c r="B110" i="24" s="1"/>
  <c r="H37" i="21"/>
  <c r="I37" i="21" s="1"/>
  <c r="V37" i="21" s="1"/>
  <c r="U37" i="21" s="1"/>
  <c r="H9" i="21"/>
  <c r="I9" i="21" s="1"/>
  <c r="P9" i="21" s="1"/>
  <c r="B73" i="23" s="1"/>
  <c r="H30" i="22"/>
  <c r="I30" i="22" s="1"/>
  <c r="T30" i="22" s="1"/>
  <c r="H15" i="21"/>
  <c r="I15" i="21" s="1"/>
  <c r="H43" i="22"/>
  <c r="I43" i="22" s="1"/>
  <c r="A143" i="24" s="1"/>
  <c r="H17" i="22"/>
  <c r="I17" i="22" s="1"/>
  <c r="V17" i="22" s="1"/>
  <c r="U17" i="22" s="1"/>
  <c r="H29" i="21"/>
  <c r="I29" i="21" s="1"/>
  <c r="H66" i="2"/>
  <c r="I66" i="2" s="1"/>
  <c r="V66" i="2" s="1"/>
  <c r="U66" i="2" s="1"/>
  <c r="H39" i="21"/>
  <c r="I39" i="21" s="1"/>
  <c r="A97" i="24" s="1"/>
  <c r="J18" i="21"/>
  <c r="A76" i="24"/>
  <c r="A90" i="17"/>
  <c r="V27" i="21"/>
  <c r="U27" i="21" s="1"/>
  <c r="A91" i="23"/>
  <c r="P27" i="21"/>
  <c r="B85" i="24" s="1"/>
  <c r="H9" i="22"/>
  <c r="I9" i="22" s="1"/>
  <c r="T27" i="21"/>
  <c r="H32" i="22"/>
  <c r="I32" i="22" s="1"/>
  <c r="A132" i="24" s="1"/>
  <c r="H10" i="21"/>
  <c r="I10" i="21" s="1"/>
  <c r="A73" i="17" s="1"/>
  <c r="H11" i="21"/>
  <c r="I11" i="21" s="1"/>
  <c r="H7" i="22"/>
  <c r="I7" i="22" s="1"/>
  <c r="A113" i="23" s="1"/>
  <c r="T29" i="22"/>
  <c r="H21" i="22"/>
  <c r="I21" i="22" s="1"/>
  <c r="H22" i="21"/>
  <c r="I22" i="21" s="1"/>
  <c r="H20" i="21"/>
  <c r="I20" i="21" s="1"/>
  <c r="A83" i="17" s="1"/>
  <c r="H33" i="21"/>
  <c r="I33" i="21" s="1"/>
  <c r="A91" i="24" s="1"/>
  <c r="H34" i="21"/>
  <c r="I34" i="21" s="1"/>
  <c r="P34" i="21" s="1"/>
  <c r="H31" i="21"/>
  <c r="I31" i="21" s="1"/>
  <c r="V31" i="21" s="1"/>
  <c r="U31" i="21" s="1"/>
  <c r="H43" i="21"/>
  <c r="I43" i="21" s="1"/>
  <c r="P43" i="21" s="1"/>
  <c r="B106" i="17" s="1"/>
  <c r="H44" i="21"/>
  <c r="I44" i="21" s="1"/>
  <c r="A107" i="17" s="1"/>
  <c r="J29" i="22"/>
  <c r="H39" i="22"/>
  <c r="I39" i="22" s="1"/>
  <c r="V29" i="22"/>
  <c r="U29" i="22" s="1"/>
  <c r="H23" i="21"/>
  <c r="I23" i="21" s="1"/>
  <c r="H32" i="21"/>
  <c r="I32" i="21" s="1"/>
  <c r="A96" i="23" s="1"/>
  <c r="H25" i="22"/>
  <c r="I25" i="22" s="1"/>
  <c r="H42" i="21"/>
  <c r="I42" i="21" s="1"/>
  <c r="H12" i="22"/>
  <c r="I12" i="22" s="1"/>
  <c r="H13" i="22"/>
  <c r="I13" i="22" s="1"/>
  <c r="H16" i="21"/>
  <c r="I16" i="21" s="1"/>
  <c r="H35" i="21"/>
  <c r="I35" i="21" s="1"/>
  <c r="H19" i="21"/>
  <c r="I19" i="21" s="1"/>
  <c r="A77" i="24" s="1"/>
  <c r="H46" i="21"/>
  <c r="I46" i="21" s="1"/>
  <c r="H42" i="22"/>
  <c r="I42" i="22" s="1"/>
  <c r="H16" i="22"/>
  <c r="I16" i="22" s="1"/>
  <c r="H12" i="21"/>
  <c r="I12" i="21" s="1"/>
  <c r="V12" i="21" s="1"/>
  <c r="U12" i="21" s="1"/>
  <c r="H24" i="21"/>
  <c r="I24" i="21" s="1"/>
  <c r="H30" i="21"/>
  <c r="I30" i="21" s="1"/>
  <c r="H28" i="22"/>
  <c r="I28" i="22" s="1"/>
  <c r="H25" i="21"/>
  <c r="I25" i="21" s="1"/>
  <c r="H35" i="22"/>
  <c r="I35" i="22" s="1"/>
  <c r="H26" i="21"/>
  <c r="I26" i="21" s="1"/>
  <c r="H13" i="21"/>
  <c r="I13" i="21" s="1"/>
  <c r="H6" i="22"/>
  <c r="I6" i="22" s="1"/>
  <c r="H15" i="22"/>
  <c r="I15" i="22" s="1"/>
  <c r="P15" i="22" s="1"/>
  <c r="B120" i="17" s="1"/>
  <c r="A135" i="23"/>
  <c r="H41" i="21"/>
  <c r="I41" i="21" s="1"/>
  <c r="V41" i="21" s="1"/>
  <c r="U41" i="21" s="1"/>
  <c r="H26" i="22"/>
  <c r="I26" i="22" s="1"/>
  <c r="H14" i="21"/>
  <c r="I14" i="21" s="1"/>
  <c r="A129" i="24"/>
  <c r="H45" i="21"/>
  <c r="I45" i="21" s="1"/>
  <c r="A108" i="17" s="1"/>
  <c r="H37" i="22"/>
  <c r="I37" i="22" s="1"/>
  <c r="H36" i="21"/>
  <c r="I36" i="21" s="1"/>
  <c r="H69" i="2"/>
  <c r="I69" i="2" s="1"/>
  <c r="J69" i="2" s="1"/>
  <c r="P18" i="21"/>
  <c r="B76" i="24" s="1"/>
  <c r="V18" i="21"/>
  <c r="U18" i="21" s="1"/>
  <c r="A75" i="24"/>
  <c r="P17" i="21"/>
  <c r="B80" i="17" s="1"/>
  <c r="A81" i="17"/>
  <c r="P38" i="22"/>
  <c r="B138" i="24" s="1"/>
  <c r="A82" i="23"/>
  <c r="V38" i="22"/>
  <c r="U38" i="22" s="1"/>
  <c r="V70" i="2"/>
  <c r="U70" i="2" s="1"/>
  <c r="T70" i="2"/>
  <c r="P70" i="2"/>
  <c r="J70" i="2"/>
  <c r="H5" i="2"/>
  <c r="H43" i="2"/>
  <c r="I43" i="2" s="1"/>
  <c r="H56" i="2"/>
  <c r="I56" i="2" s="1"/>
  <c r="H17" i="2"/>
  <c r="I17" i="2" s="1"/>
  <c r="I16" i="5"/>
  <c r="M6" i="2"/>
  <c r="M7" i="2"/>
  <c r="M8" i="2"/>
  <c r="M9" i="2"/>
  <c r="M10" i="2"/>
  <c r="M11" i="2"/>
  <c r="M12" i="2"/>
  <c r="M13" i="2"/>
  <c r="M14" i="2"/>
  <c r="M15" i="2"/>
  <c r="M16" i="2"/>
  <c r="M18" i="2"/>
  <c r="M19" i="2"/>
  <c r="M20" i="2"/>
  <c r="M21" i="2"/>
  <c r="M22" i="2"/>
  <c r="M23" i="2"/>
  <c r="M24" i="2"/>
  <c r="M25" i="2"/>
  <c r="M26" i="2"/>
  <c r="M27" i="2"/>
  <c r="M28" i="2"/>
  <c r="M29" i="2"/>
  <c r="M30" i="2"/>
  <c r="M31" i="2"/>
  <c r="M32" i="2"/>
  <c r="M33" i="2"/>
  <c r="M34" i="2"/>
  <c r="M35" i="2"/>
  <c r="M36" i="2"/>
  <c r="M37" i="2"/>
  <c r="M38" i="2"/>
  <c r="M39" i="2"/>
  <c r="M40" i="2"/>
  <c r="M41" i="2"/>
  <c r="M42" i="2"/>
  <c r="M44" i="2"/>
  <c r="M45" i="2"/>
  <c r="M46" i="2"/>
  <c r="M47" i="2"/>
  <c r="M48" i="2"/>
  <c r="M49" i="2"/>
  <c r="M50" i="2"/>
  <c r="M51" i="2"/>
  <c r="M52" i="2"/>
  <c r="M53" i="2"/>
  <c r="M54" i="2"/>
  <c r="M55" i="2"/>
  <c r="M57" i="2"/>
  <c r="M58" i="2"/>
  <c r="M59" i="2"/>
  <c r="M60" i="2"/>
  <c r="M61" i="2"/>
  <c r="M62" i="2"/>
  <c r="M63" i="2"/>
  <c r="M64" i="2"/>
  <c r="M65" i="2"/>
  <c r="A143" i="17" l="1"/>
  <c r="A66" i="24"/>
  <c r="A81" i="23"/>
  <c r="T17" i="21"/>
  <c r="V17" i="21"/>
  <c r="U17" i="21" s="1"/>
  <c r="A80" i="17"/>
  <c r="C80" i="17" s="1"/>
  <c r="A76" i="15"/>
  <c r="A72" i="23"/>
  <c r="P8" i="22"/>
  <c r="B113" i="17" s="1"/>
  <c r="V68" i="2"/>
  <c r="U68" i="2" s="1"/>
  <c r="J68" i="2"/>
  <c r="V31" i="22"/>
  <c r="U31" i="22" s="1"/>
  <c r="A138" i="24"/>
  <c r="P68" i="2"/>
  <c r="A77" i="15"/>
  <c r="A97" i="15"/>
  <c r="V8" i="21"/>
  <c r="U8" i="21" s="1"/>
  <c r="A71" i="17"/>
  <c r="A146" i="23"/>
  <c r="T31" i="22"/>
  <c r="V8" i="22"/>
  <c r="U8" i="22" s="1"/>
  <c r="P8" i="21"/>
  <c r="B71" i="17" s="1"/>
  <c r="J8" i="22"/>
  <c r="T8" i="22"/>
  <c r="A113" i="17"/>
  <c r="A108" i="24"/>
  <c r="A118" i="24"/>
  <c r="J5" i="22"/>
  <c r="P14" i="22"/>
  <c r="B114" i="24" s="1"/>
  <c r="J20" i="22"/>
  <c r="J38" i="22"/>
  <c r="T38" i="22"/>
  <c r="P20" i="22"/>
  <c r="B125" i="17" s="1"/>
  <c r="A145" i="17"/>
  <c r="A111" i="23"/>
  <c r="A110" i="17"/>
  <c r="J31" i="22"/>
  <c r="A147" i="23"/>
  <c r="A140" i="24"/>
  <c r="A126" i="23"/>
  <c r="A137" i="23"/>
  <c r="A105" i="24"/>
  <c r="J8" i="21"/>
  <c r="V40" i="22"/>
  <c r="U40" i="22" s="1"/>
  <c r="A111" i="24"/>
  <c r="P40" i="21"/>
  <c r="B103" i="17" s="1"/>
  <c r="A141" i="24"/>
  <c r="A70" i="17"/>
  <c r="T7" i="21"/>
  <c r="J7" i="21"/>
  <c r="A71" i="23"/>
  <c r="P67" i="2"/>
  <c r="P7" i="21"/>
  <c r="B71" i="23" s="1"/>
  <c r="A135" i="17"/>
  <c r="P31" i="21"/>
  <c r="B94" i="17" s="1"/>
  <c r="V67" i="2"/>
  <c r="U67" i="2" s="1"/>
  <c r="A138" i="17"/>
  <c r="A119" i="24"/>
  <c r="A120" i="15" s="1"/>
  <c r="A123" i="17"/>
  <c r="A128" i="17"/>
  <c r="A116" i="17"/>
  <c r="A146" i="17"/>
  <c r="V18" i="22"/>
  <c r="U18" i="22" s="1"/>
  <c r="T19" i="22"/>
  <c r="B132" i="17"/>
  <c r="V5" i="21"/>
  <c r="U5" i="21" s="1"/>
  <c r="P18" i="22"/>
  <c r="B123" i="17" s="1"/>
  <c r="V33" i="22"/>
  <c r="U33" i="22" s="1"/>
  <c r="P41" i="22"/>
  <c r="B146" i="17" s="1"/>
  <c r="A124" i="17"/>
  <c r="A97" i="17"/>
  <c r="A124" i="23"/>
  <c r="J19" i="22"/>
  <c r="P5" i="21"/>
  <c r="B63" i="24" s="1"/>
  <c r="J18" i="22"/>
  <c r="V19" i="22"/>
  <c r="U19" i="22" s="1"/>
  <c r="P40" i="22"/>
  <c r="P19" i="22"/>
  <c r="A63" i="24"/>
  <c r="J5" i="21"/>
  <c r="J11" i="22"/>
  <c r="A103" i="17"/>
  <c r="T67" i="2"/>
  <c r="V21" i="21"/>
  <c r="U21" i="21" s="1"/>
  <c r="T11" i="22"/>
  <c r="V40" i="21"/>
  <c r="U40" i="21" s="1"/>
  <c r="P11" i="22"/>
  <c r="B116" i="17" s="1"/>
  <c r="A117" i="23"/>
  <c r="A98" i="24"/>
  <c r="J21" i="21"/>
  <c r="A125" i="17"/>
  <c r="A130" i="24"/>
  <c r="A130" i="15" s="1"/>
  <c r="A133" i="24"/>
  <c r="A133" i="15" s="1"/>
  <c r="A139" i="23"/>
  <c r="A65" i="24"/>
  <c r="T27" i="22"/>
  <c r="J27" i="22"/>
  <c r="A132" i="17"/>
  <c r="A133" i="23"/>
  <c r="A127" i="24"/>
  <c r="V27" i="22"/>
  <c r="U27" i="22" s="1"/>
  <c r="J40" i="22"/>
  <c r="J30" i="22"/>
  <c r="A70" i="23"/>
  <c r="T28" i="21"/>
  <c r="P5" i="22"/>
  <c r="V5" i="22"/>
  <c r="U5" i="22" s="1"/>
  <c r="J66" i="2"/>
  <c r="A131" i="24"/>
  <c r="A132" i="15" s="1"/>
  <c r="A136" i="17"/>
  <c r="V20" i="22"/>
  <c r="U20" i="22" s="1"/>
  <c r="A122" i="24"/>
  <c r="T40" i="21"/>
  <c r="J40" i="21"/>
  <c r="V28" i="21"/>
  <c r="U28" i="21" s="1"/>
  <c r="V22" i="22"/>
  <c r="U22" i="22" s="1"/>
  <c r="T6" i="21"/>
  <c r="A123" i="24"/>
  <c r="T23" i="22"/>
  <c r="J6" i="21"/>
  <c r="A129" i="23"/>
  <c r="T36" i="22"/>
  <c r="J31" i="21"/>
  <c r="A127" i="17"/>
  <c r="J28" i="21"/>
  <c r="P28" i="21"/>
  <c r="B86" i="24" s="1"/>
  <c r="B86" i="15" s="1"/>
  <c r="A130" i="23"/>
  <c r="A86" i="24"/>
  <c r="A84" i="17"/>
  <c r="A91" i="17"/>
  <c r="V24" i="22"/>
  <c r="U24" i="22" s="1"/>
  <c r="A101" i="17"/>
  <c r="V36" i="22"/>
  <c r="U36" i="22" s="1"/>
  <c r="J37" i="21"/>
  <c r="J38" i="21"/>
  <c r="T24" i="22"/>
  <c r="V41" i="22"/>
  <c r="U41" i="22" s="1"/>
  <c r="V38" i="21"/>
  <c r="U38" i="21" s="1"/>
  <c r="J24" i="22"/>
  <c r="T38" i="21"/>
  <c r="V23" i="22"/>
  <c r="U23" i="22" s="1"/>
  <c r="P38" i="21"/>
  <c r="B96" i="24" s="1"/>
  <c r="A102" i="23"/>
  <c r="T14" i="22"/>
  <c r="P23" i="22"/>
  <c r="B129" i="23" s="1"/>
  <c r="T41" i="22"/>
  <c r="V14" i="22"/>
  <c r="U14" i="22" s="1"/>
  <c r="A142" i="23"/>
  <c r="A141" i="17"/>
  <c r="B133" i="23"/>
  <c r="B85" i="23"/>
  <c r="B79" i="24"/>
  <c r="B84" i="17"/>
  <c r="B116" i="23"/>
  <c r="P37" i="21"/>
  <c r="B100" i="17" s="1"/>
  <c r="B101" i="24"/>
  <c r="B115" i="17"/>
  <c r="T21" i="21"/>
  <c r="B107" i="23"/>
  <c r="A134" i="24"/>
  <c r="J36" i="22"/>
  <c r="J14" i="22"/>
  <c r="A101" i="23"/>
  <c r="A64" i="24"/>
  <c r="V6" i="21"/>
  <c r="U6" i="21" s="1"/>
  <c r="A68" i="17"/>
  <c r="A110" i="24"/>
  <c r="A129" i="17"/>
  <c r="C129" i="17" s="1"/>
  <c r="A124" i="24"/>
  <c r="B70" i="23"/>
  <c r="A69" i="23"/>
  <c r="A120" i="23"/>
  <c r="J34" i="22"/>
  <c r="V34" i="22"/>
  <c r="U34" i="22" s="1"/>
  <c r="B64" i="24"/>
  <c r="T66" i="2"/>
  <c r="P33" i="22"/>
  <c r="B138" i="17" s="1"/>
  <c r="A69" i="17"/>
  <c r="A114" i="24"/>
  <c r="P66" i="2"/>
  <c r="B69" i="23" s="1"/>
  <c r="P36" i="22"/>
  <c r="B141" i="17" s="1"/>
  <c r="V33" i="21"/>
  <c r="U33" i="21" s="1"/>
  <c r="P22" i="22"/>
  <c r="B128" i="23" s="1"/>
  <c r="C128" i="23" s="1"/>
  <c r="A95" i="24"/>
  <c r="A96" i="15" s="1"/>
  <c r="A100" i="17"/>
  <c r="T37" i="21"/>
  <c r="A116" i="23"/>
  <c r="B135" i="23"/>
  <c r="C135" i="23" s="1"/>
  <c r="J33" i="22"/>
  <c r="T22" i="22"/>
  <c r="T10" i="22"/>
  <c r="P34" i="22"/>
  <c r="T34" i="22"/>
  <c r="A140" i="23"/>
  <c r="A115" i="17"/>
  <c r="A79" i="24"/>
  <c r="A85" i="23"/>
  <c r="J22" i="22"/>
  <c r="J10" i="22"/>
  <c r="T20" i="22"/>
  <c r="B129" i="24"/>
  <c r="V10" i="22"/>
  <c r="U10" i="22" s="1"/>
  <c r="A92" i="17"/>
  <c r="V29" i="21"/>
  <c r="U29" i="21" s="1"/>
  <c r="J29" i="21"/>
  <c r="P29" i="21"/>
  <c r="A87" i="24"/>
  <c r="T29" i="21"/>
  <c r="A123" i="23"/>
  <c r="A122" i="17"/>
  <c r="A117" i="24"/>
  <c r="P17" i="22"/>
  <c r="T17" i="22"/>
  <c r="J32" i="21"/>
  <c r="J15" i="22"/>
  <c r="A148" i="17"/>
  <c r="V43" i="22"/>
  <c r="U43" i="22" s="1"/>
  <c r="T43" i="22"/>
  <c r="P43" i="22"/>
  <c r="J43" i="22"/>
  <c r="V15" i="21"/>
  <c r="U15" i="21" s="1"/>
  <c r="A73" i="24"/>
  <c r="T15" i="21"/>
  <c r="J15" i="21"/>
  <c r="P15" i="21"/>
  <c r="A79" i="23"/>
  <c r="A78" i="17"/>
  <c r="A89" i="24"/>
  <c r="B124" i="24"/>
  <c r="A136" i="23"/>
  <c r="V30" i="22"/>
  <c r="U30" i="22" s="1"/>
  <c r="P30" i="22"/>
  <c r="B90" i="17"/>
  <c r="C90" i="17" s="1"/>
  <c r="J17" i="22"/>
  <c r="A73" i="23"/>
  <c r="C73" i="23" s="1"/>
  <c r="V9" i="21"/>
  <c r="U9" i="21" s="1"/>
  <c r="A67" i="24"/>
  <c r="J9" i="21"/>
  <c r="A72" i="17"/>
  <c r="B121" i="23"/>
  <c r="B91" i="23"/>
  <c r="C91" i="23" s="1"/>
  <c r="B115" i="24"/>
  <c r="A93" i="23"/>
  <c r="T15" i="22"/>
  <c r="T9" i="21"/>
  <c r="A86" i="23"/>
  <c r="A85" i="17"/>
  <c r="A80" i="24"/>
  <c r="T22" i="21"/>
  <c r="J22" i="21"/>
  <c r="V22" i="21"/>
  <c r="U22" i="21" s="1"/>
  <c r="P22" i="21"/>
  <c r="B130" i="23"/>
  <c r="P25" i="21"/>
  <c r="J25" i="21"/>
  <c r="T25" i="21"/>
  <c r="A88" i="17"/>
  <c r="V25" i="21"/>
  <c r="U25" i="21" s="1"/>
  <c r="A89" i="23"/>
  <c r="A83" i="24"/>
  <c r="V12" i="22"/>
  <c r="U12" i="22" s="1"/>
  <c r="A117" i="17"/>
  <c r="J12" i="22"/>
  <c r="T12" i="22"/>
  <c r="A118" i="23"/>
  <c r="A112" i="24"/>
  <c r="P12" i="22"/>
  <c r="A105" i="17"/>
  <c r="V42" i="21"/>
  <c r="U42" i="21" s="1"/>
  <c r="T42" i="21"/>
  <c r="J42" i="21"/>
  <c r="P42" i="21"/>
  <c r="A106" i="23"/>
  <c r="A100" i="24"/>
  <c r="T14" i="21"/>
  <c r="A78" i="23"/>
  <c r="J14" i="21"/>
  <c r="V14" i="21"/>
  <c r="U14" i="21" s="1"/>
  <c r="A77" i="17"/>
  <c r="P14" i="21"/>
  <c r="P26" i="22"/>
  <c r="A126" i="24"/>
  <c r="V26" i="22"/>
  <c r="U26" i="22" s="1"/>
  <c r="T26" i="22"/>
  <c r="J26" i="22"/>
  <c r="A132" i="23"/>
  <c r="A104" i="17"/>
  <c r="J41" i="21"/>
  <c r="P41" i="21"/>
  <c r="A105" i="23"/>
  <c r="A99" i="24"/>
  <c r="T13" i="22"/>
  <c r="A119" i="23"/>
  <c r="A113" i="24"/>
  <c r="A130" i="17"/>
  <c r="A125" i="24"/>
  <c r="A131" i="23"/>
  <c r="V25" i="22"/>
  <c r="U25" i="22" s="1"/>
  <c r="P25" i="22"/>
  <c r="J25" i="22"/>
  <c r="T25" i="22"/>
  <c r="A128" i="24"/>
  <c r="A129" i="15" s="1"/>
  <c r="T28" i="22"/>
  <c r="V28" i="22"/>
  <c r="U28" i="22" s="1"/>
  <c r="A133" i="17"/>
  <c r="A134" i="23"/>
  <c r="P28" i="22"/>
  <c r="J28" i="22"/>
  <c r="A94" i="23"/>
  <c r="A93" i="17"/>
  <c r="A88" i="24"/>
  <c r="J30" i="21"/>
  <c r="V30" i="21"/>
  <c r="U30" i="21" s="1"/>
  <c r="T30" i="21"/>
  <c r="P30" i="21"/>
  <c r="A72" i="24"/>
  <c r="T41" i="21"/>
  <c r="V13" i="22"/>
  <c r="U13" i="22" s="1"/>
  <c r="A118" i="17"/>
  <c r="A127" i="23"/>
  <c r="A121" i="24"/>
  <c r="P21" i="22"/>
  <c r="A126" i="17"/>
  <c r="V21" i="22"/>
  <c r="U21" i="22" s="1"/>
  <c r="T21" i="22"/>
  <c r="J21" i="22"/>
  <c r="J13" i="22"/>
  <c r="B136" i="17"/>
  <c r="B131" i="24"/>
  <c r="B137" i="23"/>
  <c r="B98" i="23"/>
  <c r="B92" i="24"/>
  <c r="A131" i="17"/>
  <c r="B143" i="17"/>
  <c r="C143" i="17" s="1"/>
  <c r="B144" i="23"/>
  <c r="C144" i="23" s="1"/>
  <c r="P13" i="22"/>
  <c r="B119" i="23" s="1"/>
  <c r="A95" i="17"/>
  <c r="A90" i="24"/>
  <c r="A91" i="15" s="1"/>
  <c r="P32" i="21"/>
  <c r="T32" i="21"/>
  <c r="V11" i="21"/>
  <c r="U11" i="21" s="1"/>
  <c r="A75" i="23"/>
  <c r="T11" i="21"/>
  <c r="A69" i="24"/>
  <c r="A74" i="17"/>
  <c r="J11" i="21"/>
  <c r="P11" i="21"/>
  <c r="P10" i="21"/>
  <c r="J10" i="21"/>
  <c r="T10" i="21"/>
  <c r="V10" i="21"/>
  <c r="U10" i="21" s="1"/>
  <c r="A74" i="23"/>
  <c r="A68" i="24"/>
  <c r="V7" i="22"/>
  <c r="U7" i="22" s="1"/>
  <c r="A137" i="17"/>
  <c r="V32" i="22"/>
  <c r="U32" i="22" s="1"/>
  <c r="T32" i="22"/>
  <c r="A138" i="23"/>
  <c r="P32" i="22"/>
  <c r="J32" i="22"/>
  <c r="J42" i="22"/>
  <c r="P42" i="22"/>
  <c r="V42" i="22"/>
  <c r="U42" i="22" s="1"/>
  <c r="T42" i="22"/>
  <c r="A147" i="17"/>
  <c r="A142" i="24"/>
  <c r="A143" i="15" s="1"/>
  <c r="A148" i="23"/>
  <c r="A104" i="24"/>
  <c r="T46" i="21"/>
  <c r="J46" i="21"/>
  <c r="P46" i="21"/>
  <c r="A110" i="23"/>
  <c r="A109" i="17"/>
  <c r="V46" i="21"/>
  <c r="U46" i="21" s="1"/>
  <c r="V15" i="22"/>
  <c r="U15" i="22" s="1"/>
  <c r="A82" i="17"/>
  <c r="P19" i="21"/>
  <c r="A83" i="23"/>
  <c r="J19" i="21"/>
  <c r="V19" i="21"/>
  <c r="U19" i="21" s="1"/>
  <c r="T19" i="21"/>
  <c r="V32" i="21"/>
  <c r="U32" i="21" s="1"/>
  <c r="P44" i="21"/>
  <c r="V44" i="21"/>
  <c r="U44" i="21" s="1"/>
  <c r="A102" i="24"/>
  <c r="T44" i="21"/>
  <c r="J44" i="21"/>
  <c r="T69" i="2"/>
  <c r="A109" i="23"/>
  <c r="T45" i="21"/>
  <c r="P45" i="21"/>
  <c r="A103" i="24"/>
  <c r="V45" i="21"/>
  <c r="U45" i="21" s="1"/>
  <c r="J45" i="21"/>
  <c r="T31" i="21"/>
  <c r="A95" i="23"/>
  <c r="A94" i="17"/>
  <c r="A115" i="23"/>
  <c r="V9" i="22"/>
  <c r="U9" i="22" s="1"/>
  <c r="P9" i="22"/>
  <c r="A114" i="17"/>
  <c r="A109" i="24"/>
  <c r="T9" i="22"/>
  <c r="J9" i="22"/>
  <c r="B67" i="24"/>
  <c r="P69" i="2"/>
  <c r="A108" i="23"/>
  <c r="A71" i="24"/>
  <c r="A76" i="17"/>
  <c r="A77" i="23"/>
  <c r="P13" i="21"/>
  <c r="V13" i="21"/>
  <c r="U13" i="21" s="1"/>
  <c r="T13" i="21"/>
  <c r="J13" i="21"/>
  <c r="A93" i="24"/>
  <c r="J35" i="21"/>
  <c r="V35" i="21"/>
  <c r="U35" i="21" s="1"/>
  <c r="P35" i="21"/>
  <c r="A99" i="23"/>
  <c r="A98" i="17"/>
  <c r="T35" i="21"/>
  <c r="V34" i="21"/>
  <c r="U34" i="21" s="1"/>
  <c r="A98" i="23"/>
  <c r="J34" i="21"/>
  <c r="T34" i="21"/>
  <c r="A92" i="24"/>
  <c r="B72" i="17"/>
  <c r="A84" i="24"/>
  <c r="A85" i="15" s="1"/>
  <c r="J26" i="21"/>
  <c r="A89" i="17"/>
  <c r="A90" i="23"/>
  <c r="V26" i="21"/>
  <c r="U26" i="21" s="1"/>
  <c r="T26" i="21"/>
  <c r="P26" i="21"/>
  <c r="T16" i="22"/>
  <c r="J16" i="22"/>
  <c r="A116" i="24"/>
  <c r="A122" i="23"/>
  <c r="V16" i="22"/>
  <c r="U16" i="22" s="1"/>
  <c r="A121" i="17"/>
  <c r="P16" i="22"/>
  <c r="T35" i="22"/>
  <c r="V35" i="22"/>
  <c r="U35" i="22" s="1"/>
  <c r="P35" i="22"/>
  <c r="A140" i="17"/>
  <c r="J35" i="22"/>
  <c r="A135" i="24"/>
  <c r="A136" i="15" s="1"/>
  <c r="A141" i="23"/>
  <c r="T33" i="21"/>
  <c r="P33" i="21"/>
  <c r="J33" i="21"/>
  <c r="A97" i="23"/>
  <c r="A96" i="17"/>
  <c r="A82" i="24"/>
  <c r="A88" i="23"/>
  <c r="T24" i="21"/>
  <c r="V24" i="21"/>
  <c r="U24" i="21" s="1"/>
  <c r="P24" i="21"/>
  <c r="J24" i="21"/>
  <c r="A87" i="17"/>
  <c r="T7" i="22"/>
  <c r="A107" i="24"/>
  <c r="P7" i="22"/>
  <c r="J7" i="22"/>
  <c r="A87" i="23"/>
  <c r="V23" i="21"/>
  <c r="U23" i="21" s="1"/>
  <c r="A81" i="24"/>
  <c r="A86" i="17"/>
  <c r="P23" i="21"/>
  <c r="A76" i="23"/>
  <c r="P12" i="21"/>
  <c r="A75" i="17"/>
  <c r="T12" i="21"/>
  <c r="A70" i="24"/>
  <c r="J12" i="21"/>
  <c r="A121" i="23"/>
  <c r="A115" i="24"/>
  <c r="A120" i="17"/>
  <c r="C120" i="17" s="1"/>
  <c r="T23" i="21"/>
  <c r="A145" i="23"/>
  <c r="T39" i="22"/>
  <c r="A144" i="17"/>
  <c r="P39" i="22"/>
  <c r="V39" i="22"/>
  <c r="U39" i="22" s="1"/>
  <c r="J39" i="22"/>
  <c r="A112" i="17"/>
  <c r="V69" i="2"/>
  <c r="U69" i="2" s="1"/>
  <c r="A99" i="17"/>
  <c r="A100" i="23"/>
  <c r="V36" i="21"/>
  <c r="U36" i="21" s="1"/>
  <c r="T36" i="21"/>
  <c r="J36" i="21"/>
  <c r="P36" i="21"/>
  <c r="A94" i="24"/>
  <c r="A142" i="17"/>
  <c r="T37" i="22"/>
  <c r="V37" i="22"/>
  <c r="U37" i="22" s="1"/>
  <c r="A137" i="24"/>
  <c r="A143" i="23"/>
  <c r="J37" i="22"/>
  <c r="P37" i="22"/>
  <c r="A107" i="23"/>
  <c r="A106" i="17"/>
  <c r="C106" i="17" s="1"/>
  <c r="J43" i="21"/>
  <c r="A101" i="24"/>
  <c r="V43" i="21"/>
  <c r="U43" i="21" s="1"/>
  <c r="P6" i="22"/>
  <c r="A111" i="17"/>
  <c r="J6" i="22"/>
  <c r="V6" i="22"/>
  <c r="A106" i="24"/>
  <c r="A112" i="23"/>
  <c r="T6" i="22"/>
  <c r="A102" i="17"/>
  <c r="V39" i="21"/>
  <c r="U39" i="21" s="1"/>
  <c r="P39" i="21"/>
  <c r="T39" i="21"/>
  <c r="J39" i="21"/>
  <c r="A103" i="23"/>
  <c r="B81" i="17"/>
  <c r="C81" i="17" s="1"/>
  <c r="T43" i="21"/>
  <c r="J23" i="21"/>
  <c r="A139" i="24"/>
  <c r="A139" i="15" s="1"/>
  <c r="J16" i="21"/>
  <c r="A74" i="24"/>
  <c r="A75" i="15" s="1"/>
  <c r="A80" i="23"/>
  <c r="T16" i="21"/>
  <c r="P16" i="21"/>
  <c r="A79" i="17"/>
  <c r="V16" i="21"/>
  <c r="U16" i="21" s="1"/>
  <c r="T20" i="21"/>
  <c r="P20" i="21"/>
  <c r="A78" i="24"/>
  <c r="J20" i="21"/>
  <c r="A84" i="23"/>
  <c r="V20" i="21"/>
  <c r="U20" i="21" s="1"/>
  <c r="B97" i="17"/>
  <c r="B75" i="24"/>
  <c r="B76" i="15" s="1"/>
  <c r="B81" i="23"/>
  <c r="B82" i="23"/>
  <c r="C82" i="23" s="1"/>
  <c r="J56" i="2"/>
  <c r="A59" i="23"/>
  <c r="A53" i="24"/>
  <c r="J43" i="2"/>
  <c r="A40" i="24"/>
  <c r="A40" i="15" s="1"/>
  <c r="A45" i="23"/>
  <c r="J17" i="2"/>
  <c r="A19" i="23"/>
  <c r="A14" i="24"/>
  <c r="A14" i="15" s="1"/>
  <c r="V17" i="2"/>
  <c r="U17" i="2" s="1"/>
  <c r="V56" i="2"/>
  <c r="U56" i="2" s="1"/>
  <c r="I5" i="2"/>
  <c r="A45" i="17"/>
  <c r="P56" i="2"/>
  <c r="T43" i="2"/>
  <c r="P43" i="2"/>
  <c r="T56" i="2"/>
  <c r="V43" i="2"/>
  <c r="U43" i="2" s="1"/>
  <c r="T17" i="2"/>
  <c r="P17" i="2"/>
  <c r="A19" i="17"/>
  <c r="A58" i="17"/>
  <c r="I17" i="5"/>
  <c r="I18" i="5"/>
  <c r="D6" i="2"/>
  <c r="E48" i="2"/>
  <c r="G6" i="2"/>
  <c r="F45" i="2"/>
  <c r="G36" i="2"/>
  <c r="D34" i="2"/>
  <c r="G65" i="2"/>
  <c r="F42" i="2"/>
  <c r="G64" i="2"/>
  <c r="D39" i="2"/>
  <c r="E11" i="2"/>
  <c r="D38" i="2"/>
  <c r="E7" i="2"/>
  <c r="G48" i="2"/>
  <c r="D42" i="2"/>
  <c r="F41" i="2"/>
  <c r="F40" i="2"/>
  <c r="G45" i="2"/>
  <c r="F39" i="2"/>
  <c r="G44" i="2"/>
  <c r="F37" i="2"/>
  <c r="G42" i="2"/>
  <c r="D37" i="2"/>
  <c r="D41" i="2"/>
  <c r="D40" i="2"/>
  <c r="D35" i="2"/>
  <c r="F36" i="2"/>
  <c r="F19" i="2"/>
  <c r="E18" i="2"/>
  <c r="G39" i="2"/>
  <c r="E14" i="2"/>
  <c r="E13" i="2"/>
  <c r="E12" i="2"/>
  <c r="E6" i="2"/>
  <c r="D36" i="2"/>
  <c r="G41" i="2"/>
  <c r="G40" i="2"/>
  <c r="D44" i="2"/>
  <c r="E16" i="2"/>
  <c r="G37" i="2"/>
  <c r="D29" i="2"/>
  <c r="F18" i="2"/>
  <c r="D16" i="2"/>
  <c r="G35" i="2"/>
  <c r="F12" i="2"/>
  <c r="E52" i="2"/>
  <c r="F11" i="2"/>
  <c r="G30" i="2"/>
  <c r="D18" i="2"/>
  <c r="F16" i="2"/>
  <c r="E51" i="2"/>
  <c r="F7" i="2"/>
  <c r="G29" i="2"/>
  <c r="E47" i="2"/>
  <c r="G13" i="2"/>
  <c r="G34" i="2"/>
  <c r="E44" i="2"/>
  <c r="G11" i="2"/>
  <c r="G12" i="2"/>
  <c r="E42" i="2"/>
  <c r="G7" i="2"/>
  <c r="F14" i="2"/>
  <c r="E45" i="2"/>
  <c r="E40" i="2"/>
  <c r="D33" i="2"/>
  <c r="F13" i="2"/>
  <c r="F6" i="2"/>
  <c r="E23" i="2"/>
  <c r="E46" i="2"/>
  <c r="E26" i="2"/>
  <c r="E49" i="2"/>
  <c r="E27" i="2"/>
  <c r="E50" i="2"/>
  <c r="E8" i="2"/>
  <c r="E31" i="2"/>
  <c r="E53" i="2"/>
  <c r="E9" i="2"/>
  <c r="E32" i="2"/>
  <c r="E54" i="2"/>
  <c r="E10" i="2"/>
  <c r="E33" i="2"/>
  <c r="E55" i="2"/>
  <c r="E15" i="2"/>
  <c r="E38" i="2"/>
  <c r="E61" i="2"/>
  <c r="E21" i="2"/>
  <c r="E57" i="2"/>
  <c r="E22" i="2"/>
  <c r="E58" i="2"/>
  <c r="E24" i="2"/>
  <c r="E59" i="2"/>
  <c r="E25" i="2"/>
  <c r="E60" i="2"/>
  <c r="E28" i="2"/>
  <c r="E62" i="2"/>
  <c r="E29" i="2"/>
  <c r="E63" i="2"/>
  <c r="E34" i="2"/>
  <c r="E65" i="2"/>
  <c r="E30" i="2"/>
  <c r="E64" i="2"/>
  <c r="E35" i="2"/>
  <c r="D64" i="2"/>
  <c r="D13" i="2"/>
  <c r="E41" i="2"/>
  <c r="F57" i="2"/>
  <c r="F51" i="2"/>
  <c r="D23" i="2"/>
  <c r="D46" i="2"/>
  <c r="D26" i="2"/>
  <c r="D49" i="2"/>
  <c r="D27" i="2"/>
  <c r="D50" i="2"/>
  <c r="D8" i="2"/>
  <c r="D31" i="2"/>
  <c r="D53" i="2"/>
  <c r="D9" i="2"/>
  <c r="D32" i="2"/>
  <c r="D54" i="2"/>
  <c r="D10" i="2"/>
  <c r="D15" i="2"/>
  <c r="D19" i="2"/>
  <c r="D48" i="2"/>
  <c r="D51" i="2"/>
  <c r="D20" i="2"/>
  <c r="D25" i="2"/>
  <c r="D58" i="2"/>
  <c r="D21" i="2"/>
  <c r="D52" i="2"/>
  <c r="D22" i="2"/>
  <c r="D24" i="2"/>
  <c r="D55" i="2"/>
  <c r="D57" i="2"/>
  <c r="D28" i="2"/>
  <c r="D30" i="2"/>
  <c r="D60" i="2"/>
  <c r="D65" i="2"/>
  <c r="D14" i="2"/>
  <c r="D12" i="2"/>
  <c r="D62" i="2"/>
  <c r="D11" i="2"/>
  <c r="E39" i="2"/>
  <c r="F52" i="2"/>
  <c r="D7" i="2"/>
  <c r="D59" i="2"/>
  <c r="E36" i="2"/>
  <c r="F48" i="2"/>
  <c r="D47" i="2"/>
  <c r="E20" i="2"/>
  <c r="F23" i="2"/>
  <c r="F46" i="2"/>
  <c r="F24" i="2"/>
  <c r="F47" i="2"/>
  <c r="F26" i="2"/>
  <c r="F49" i="2"/>
  <c r="F27" i="2"/>
  <c r="F50" i="2"/>
  <c r="F8" i="2"/>
  <c r="F31" i="2"/>
  <c r="F53" i="2"/>
  <c r="F9" i="2"/>
  <c r="F32" i="2"/>
  <c r="F54" i="2"/>
  <c r="F10" i="2"/>
  <c r="F33" i="2"/>
  <c r="F55" i="2"/>
  <c r="F15" i="2"/>
  <c r="F38" i="2"/>
  <c r="F61" i="2"/>
  <c r="F20" i="2"/>
  <c r="F58" i="2"/>
  <c r="F59" i="2"/>
  <c r="F34" i="2"/>
  <c r="F21" i="2"/>
  <c r="F29" i="2"/>
  <c r="F22" i="2"/>
  <c r="F60" i="2"/>
  <c r="F25" i="2"/>
  <c r="F62" i="2"/>
  <c r="F28" i="2"/>
  <c r="F63" i="2"/>
  <c r="F64" i="2"/>
  <c r="F30" i="2"/>
  <c r="F65" i="2"/>
  <c r="F35" i="2"/>
  <c r="D63" i="2"/>
  <c r="D61" i="2"/>
  <c r="E37" i="2"/>
  <c r="D45" i="2"/>
  <c r="E19" i="2"/>
  <c r="F44" i="2"/>
  <c r="G23" i="2"/>
  <c r="G46" i="2"/>
  <c r="G24" i="2"/>
  <c r="G47" i="2"/>
  <c r="G26" i="2"/>
  <c r="G49" i="2"/>
  <c r="G27" i="2"/>
  <c r="G50" i="2"/>
  <c r="G8" i="2"/>
  <c r="G31" i="2"/>
  <c r="G53" i="2"/>
  <c r="G9" i="2"/>
  <c r="G32" i="2"/>
  <c r="G54" i="2"/>
  <c r="G10" i="2"/>
  <c r="G33" i="2"/>
  <c r="G55" i="2"/>
  <c r="G15" i="2"/>
  <c r="G38" i="2"/>
  <c r="G61" i="2"/>
  <c r="G63" i="2"/>
  <c r="G28" i="2"/>
  <c r="G25" i="2"/>
  <c r="G60" i="2"/>
  <c r="G22" i="2"/>
  <c r="G62" i="2"/>
  <c r="G59" i="2"/>
  <c r="G21" i="2"/>
  <c r="G58" i="2"/>
  <c r="G20" i="2"/>
  <c r="G57" i="2"/>
  <c r="G19" i="2"/>
  <c r="G18" i="2"/>
  <c r="G52" i="2"/>
  <c r="G16" i="2"/>
  <c r="G51" i="2"/>
  <c r="G14" i="2"/>
  <c r="C12" i="3"/>
  <c r="B126" i="23" l="1"/>
  <c r="C126" i="23" s="1"/>
  <c r="C81" i="23"/>
  <c r="B119" i="17"/>
  <c r="C119" i="17" s="1"/>
  <c r="B114" i="23"/>
  <c r="C114" i="23" s="1"/>
  <c r="A66" i="15"/>
  <c r="B66" i="24"/>
  <c r="A105" i="15"/>
  <c r="A116" i="15"/>
  <c r="A138" i="15"/>
  <c r="A122" i="15"/>
  <c r="A125" i="15"/>
  <c r="A114" i="15"/>
  <c r="C113" i="17"/>
  <c r="A93" i="15"/>
  <c r="B108" i="24"/>
  <c r="C71" i="17"/>
  <c r="A95" i="15"/>
  <c r="B64" i="15"/>
  <c r="B115" i="15"/>
  <c r="A108" i="15"/>
  <c r="A118" i="15"/>
  <c r="A73" i="15"/>
  <c r="A79" i="15"/>
  <c r="A113" i="15"/>
  <c r="A119" i="15"/>
  <c r="A99" i="15"/>
  <c r="A112" i="15"/>
  <c r="B68" i="17"/>
  <c r="C68" i="17" s="1"/>
  <c r="A84" i="15"/>
  <c r="A68" i="15"/>
  <c r="A71" i="15"/>
  <c r="A70" i="15"/>
  <c r="A106" i="15"/>
  <c r="A72" i="15"/>
  <c r="A103" i="15"/>
  <c r="A141" i="15"/>
  <c r="A126" i="15"/>
  <c r="A101" i="15"/>
  <c r="A64" i="15"/>
  <c r="B72" i="23"/>
  <c r="C72" i="23" s="1"/>
  <c r="B142" i="23"/>
  <c r="C142" i="23" s="1"/>
  <c r="B120" i="23"/>
  <c r="C120" i="23" s="1"/>
  <c r="A89" i="15"/>
  <c r="A135" i="15"/>
  <c r="A111" i="15"/>
  <c r="A82" i="15"/>
  <c r="A110" i="15"/>
  <c r="A88" i="15"/>
  <c r="A65" i="15"/>
  <c r="A107" i="15"/>
  <c r="A90" i="15"/>
  <c r="A100" i="15"/>
  <c r="A81" i="15"/>
  <c r="A128" i="15"/>
  <c r="A102" i="15"/>
  <c r="A92" i="15"/>
  <c r="A115" i="15"/>
  <c r="A124" i="15"/>
  <c r="A69" i="15"/>
  <c r="A74" i="15"/>
  <c r="A78" i="15"/>
  <c r="A140" i="15"/>
  <c r="A134" i="15"/>
  <c r="A121" i="15"/>
  <c r="A83" i="15"/>
  <c r="A117" i="15"/>
  <c r="A131" i="15"/>
  <c r="A67" i="15"/>
  <c r="A87" i="15"/>
  <c r="A86" i="15"/>
  <c r="B67" i="15"/>
  <c r="A94" i="15"/>
  <c r="A104" i="15"/>
  <c r="A123" i="15"/>
  <c r="A109" i="15"/>
  <c r="A127" i="15"/>
  <c r="A80" i="15"/>
  <c r="A142" i="15"/>
  <c r="A137" i="15"/>
  <c r="A98" i="15"/>
  <c r="C97" i="17"/>
  <c r="C123" i="17"/>
  <c r="C107" i="23"/>
  <c r="B89" i="24"/>
  <c r="C94" i="17"/>
  <c r="C103" i="17"/>
  <c r="B133" i="24"/>
  <c r="B101" i="23"/>
  <c r="C101" i="23" s="1"/>
  <c r="C146" i="17"/>
  <c r="C137" i="23"/>
  <c r="B95" i="24"/>
  <c r="B96" i="15" s="1"/>
  <c r="C125" i="17"/>
  <c r="B141" i="24"/>
  <c r="B124" i="23"/>
  <c r="C124" i="23" s="1"/>
  <c r="B104" i="23"/>
  <c r="C104" i="23" s="1"/>
  <c r="B98" i="24"/>
  <c r="B118" i="24"/>
  <c r="B95" i="23"/>
  <c r="C95" i="23" s="1"/>
  <c r="B120" i="24"/>
  <c r="B117" i="23"/>
  <c r="C117" i="23" s="1"/>
  <c r="C138" i="17"/>
  <c r="B111" i="24"/>
  <c r="C71" i="23"/>
  <c r="C132" i="17"/>
  <c r="C129" i="23"/>
  <c r="C116" i="17"/>
  <c r="B70" i="17"/>
  <c r="C70" i="17" s="1"/>
  <c r="C84" i="17"/>
  <c r="B65" i="24"/>
  <c r="B66" i="15" s="1"/>
  <c r="C141" i="17"/>
  <c r="B124" i="17"/>
  <c r="C124" i="17" s="1"/>
  <c r="B119" i="24"/>
  <c r="B140" i="24"/>
  <c r="B145" i="17"/>
  <c r="C145" i="17" s="1"/>
  <c r="B146" i="23"/>
  <c r="C146" i="23" s="1"/>
  <c r="C136" i="17"/>
  <c r="B125" i="23"/>
  <c r="C125" i="23" s="1"/>
  <c r="B102" i="23"/>
  <c r="C102" i="23" s="1"/>
  <c r="B147" i="23"/>
  <c r="C147" i="23" s="1"/>
  <c r="C130" i="23"/>
  <c r="B110" i="17"/>
  <c r="C110" i="17" s="1"/>
  <c r="B111" i="23"/>
  <c r="C111" i="23" s="1"/>
  <c r="B105" i="24"/>
  <c r="B92" i="23"/>
  <c r="C92" i="23" s="1"/>
  <c r="B128" i="17"/>
  <c r="C128" i="17" s="1"/>
  <c r="C70" i="23"/>
  <c r="B91" i="17"/>
  <c r="C91" i="17" s="1"/>
  <c r="C133" i="23"/>
  <c r="B136" i="24"/>
  <c r="B101" i="17"/>
  <c r="C101" i="17" s="1"/>
  <c r="B123" i="24"/>
  <c r="B124" i="15" s="1"/>
  <c r="C72" i="17"/>
  <c r="B127" i="17"/>
  <c r="C127" i="17" s="1"/>
  <c r="B139" i="23"/>
  <c r="C139" i="23" s="1"/>
  <c r="B122" i="24"/>
  <c r="C121" i="23"/>
  <c r="C85" i="23"/>
  <c r="C116" i="23"/>
  <c r="C119" i="23"/>
  <c r="C115" i="17"/>
  <c r="C100" i="17"/>
  <c r="B139" i="17"/>
  <c r="C139" i="17" s="1"/>
  <c r="B140" i="23"/>
  <c r="C140" i="23" s="1"/>
  <c r="B134" i="24"/>
  <c r="C69" i="23"/>
  <c r="B113" i="24"/>
  <c r="B114" i="15" s="1"/>
  <c r="B118" i="17"/>
  <c r="C118" i="17" s="1"/>
  <c r="G8" i="9"/>
  <c r="B148" i="17"/>
  <c r="C148" i="17" s="1"/>
  <c r="B143" i="24"/>
  <c r="B130" i="24"/>
  <c r="B131" i="15" s="1"/>
  <c r="B135" i="17"/>
  <c r="C135" i="17" s="1"/>
  <c r="B136" i="23"/>
  <c r="C136" i="23" s="1"/>
  <c r="B122" i="17"/>
  <c r="C122" i="17" s="1"/>
  <c r="B117" i="24"/>
  <c r="B123" i="23"/>
  <c r="C123" i="23" s="1"/>
  <c r="F47" i="9"/>
  <c r="B92" i="17"/>
  <c r="C92" i="17" s="1"/>
  <c r="B87" i="24"/>
  <c r="B87" i="15" s="1"/>
  <c r="B93" i="23"/>
  <c r="C93" i="23" s="1"/>
  <c r="O10" i="9"/>
  <c r="B79" i="23"/>
  <c r="C79" i="23" s="1"/>
  <c r="B78" i="17"/>
  <c r="C78" i="17" s="1"/>
  <c r="B73" i="24"/>
  <c r="B69" i="24"/>
  <c r="B74" i="17"/>
  <c r="C74" i="17" s="1"/>
  <c r="B75" i="23"/>
  <c r="C75" i="23" s="1"/>
  <c r="B88" i="24"/>
  <c r="B94" i="23"/>
  <c r="C94" i="23" s="1"/>
  <c r="B93" i="17"/>
  <c r="C93" i="17" s="1"/>
  <c r="F9" i="9"/>
  <c r="B137" i="24"/>
  <c r="B138" i="15" s="1"/>
  <c r="B143" i="23"/>
  <c r="C143" i="23" s="1"/>
  <c r="B142" i="17"/>
  <c r="C142" i="17" s="1"/>
  <c r="B112" i="17"/>
  <c r="C112" i="17" s="1"/>
  <c r="B113" i="23"/>
  <c r="C113" i="23" s="1"/>
  <c r="B107" i="24"/>
  <c r="B139" i="24"/>
  <c r="B144" i="17"/>
  <c r="C144" i="17" s="1"/>
  <c r="B145" i="23"/>
  <c r="C145" i="23" s="1"/>
  <c r="B121" i="17"/>
  <c r="C121" i="17" s="1"/>
  <c r="B122" i="23"/>
  <c r="C122" i="23" s="1"/>
  <c r="B116" i="24"/>
  <c r="B116" i="15" s="1"/>
  <c r="B107" i="17"/>
  <c r="C107" i="17" s="1"/>
  <c r="B108" i="23"/>
  <c r="C108" i="23" s="1"/>
  <c r="B102" i="24"/>
  <c r="B142" i="24"/>
  <c r="B147" i="17"/>
  <c r="C147" i="17" s="1"/>
  <c r="B148" i="23"/>
  <c r="C148" i="23" s="1"/>
  <c r="B106" i="23"/>
  <c r="C106" i="23" s="1"/>
  <c r="B105" i="17"/>
  <c r="C105" i="17" s="1"/>
  <c r="B100" i="24"/>
  <c r="B101" i="15" s="1"/>
  <c r="B132" i="24"/>
  <c r="B137" i="17"/>
  <c r="C137" i="17" s="1"/>
  <c r="B138" i="23"/>
  <c r="C138" i="23" s="1"/>
  <c r="B90" i="24"/>
  <c r="B95" i="17"/>
  <c r="C95" i="17" s="1"/>
  <c r="B96" i="23"/>
  <c r="C96" i="23" s="1"/>
  <c r="B105" i="23"/>
  <c r="C105" i="23" s="1"/>
  <c r="B104" i="17"/>
  <c r="C104" i="17" s="1"/>
  <c r="B99" i="24"/>
  <c r="B94" i="24"/>
  <c r="B100" i="23"/>
  <c r="C100" i="23" s="1"/>
  <c r="B99" i="17"/>
  <c r="C99" i="17" s="1"/>
  <c r="B127" i="23"/>
  <c r="C127" i="23" s="1"/>
  <c r="B121" i="24"/>
  <c r="B126" i="17"/>
  <c r="C126" i="17" s="1"/>
  <c r="B99" i="23"/>
  <c r="C99" i="23" s="1"/>
  <c r="B98" i="17"/>
  <c r="C98" i="17" s="1"/>
  <c r="B93" i="24"/>
  <c r="B80" i="24"/>
  <c r="B85" i="17"/>
  <c r="C85" i="17" s="1"/>
  <c r="B86" i="23"/>
  <c r="C86" i="23" s="1"/>
  <c r="B114" i="17"/>
  <c r="C114" i="17" s="1"/>
  <c r="B109" i="24"/>
  <c r="B110" i="15" s="1"/>
  <c r="B115" i="23"/>
  <c r="C115" i="23" s="1"/>
  <c r="O11" i="9"/>
  <c r="B117" i="17"/>
  <c r="C117" i="17" s="1"/>
  <c r="B118" i="23"/>
  <c r="C118" i="23" s="1"/>
  <c r="B112" i="24"/>
  <c r="G9" i="9"/>
  <c r="B103" i="23"/>
  <c r="C103" i="23" s="1"/>
  <c r="B97" i="24"/>
  <c r="B102" i="17"/>
  <c r="C102" i="17" s="1"/>
  <c r="B133" i="17"/>
  <c r="C133" i="17" s="1"/>
  <c r="B128" i="24"/>
  <c r="B134" i="23"/>
  <c r="C134" i="23" s="1"/>
  <c r="B78" i="24"/>
  <c r="B79" i="15" s="1"/>
  <c r="B83" i="17"/>
  <c r="C83" i="17" s="1"/>
  <c r="B84" i="23"/>
  <c r="C84" i="23" s="1"/>
  <c r="B76" i="23"/>
  <c r="C76" i="23" s="1"/>
  <c r="B70" i="24"/>
  <c r="B75" i="17"/>
  <c r="C75" i="17" s="1"/>
  <c r="B76" i="17"/>
  <c r="C76" i="17" s="1"/>
  <c r="B77" i="23"/>
  <c r="C77" i="23" s="1"/>
  <c r="B71" i="24"/>
  <c r="B74" i="24"/>
  <c r="B75" i="15" s="1"/>
  <c r="B79" i="17"/>
  <c r="C79" i="17" s="1"/>
  <c r="B80" i="23"/>
  <c r="C80" i="23" s="1"/>
  <c r="B104" i="24"/>
  <c r="B109" i="17"/>
  <c r="C109" i="17" s="1"/>
  <c r="B110" i="23"/>
  <c r="C110" i="23" s="1"/>
  <c r="B72" i="24"/>
  <c r="B78" i="23"/>
  <c r="C78" i="23" s="1"/>
  <c r="B77" i="17"/>
  <c r="C77" i="17" s="1"/>
  <c r="F8" i="9"/>
  <c r="B82" i="24"/>
  <c r="B87" i="17"/>
  <c r="C87" i="17" s="1"/>
  <c r="B88" i="23"/>
  <c r="C88" i="23" s="1"/>
  <c r="B84" i="24"/>
  <c r="B85" i="15" s="1"/>
  <c r="B90" i="23"/>
  <c r="C90" i="23" s="1"/>
  <c r="B89" i="17"/>
  <c r="C89" i="17" s="1"/>
  <c r="U6" i="22"/>
  <c r="G47" i="9" s="1"/>
  <c r="N11" i="9"/>
  <c r="B97" i="23"/>
  <c r="C97" i="23" s="1"/>
  <c r="B96" i="17"/>
  <c r="C96" i="17" s="1"/>
  <c r="B91" i="24"/>
  <c r="B92" i="15" s="1"/>
  <c r="B87" i="23"/>
  <c r="C87" i="23" s="1"/>
  <c r="B86" i="17"/>
  <c r="C86" i="17" s="1"/>
  <c r="B81" i="24"/>
  <c r="B68" i="24"/>
  <c r="B74" i="23"/>
  <c r="C74" i="23" s="1"/>
  <c r="B73" i="17"/>
  <c r="C73" i="17" s="1"/>
  <c r="N10" i="9"/>
  <c r="B89" i="23"/>
  <c r="C89" i="23" s="1"/>
  <c r="B83" i="24"/>
  <c r="B88" i="17"/>
  <c r="C88" i="17" s="1"/>
  <c r="B83" i="23"/>
  <c r="C83" i="23" s="1"/>
  <c r="B77" i="24"/>
  <c r="B82" i="17"/>
  <c r="C82" i="17" s="1"/>
  <c r="B109" i="23"/>
  <c r="C109" i="23" s="1"/>
  <c r="B108" i="17"/>
  <c r="C108" i="17" s="1"/>
  <c r="B103" i="24"/>
  <c r="C98" i="23"/>
  <c r="F48" i="9"/>
  <c r="B131" i="17"/>
  <c r="C131" i="17" s="1"/>
  <c r="B126" i="24"/>
  <c r="B127" i="15" s="1"/>
  <c r="B132" i="23"/>
  <c r="C132" i="23" s="1"/>
  <c r="B111" i="17"/>
  <c r="C111" i="17" s="1"/>
  <c r="B106" i="24"/>
  <c r="B112" i="23"/>
  <c r="C112" i="23" s="1"/>
  <c r="G48" i="9"/>
  <c r="B140" i="17"/>
  <c r="C140" i="17" s="1"/>
  <c r="B141" i="23"/>
  <c r="C141" i="23" s="1"/>
  <c r="B135" i="24"/>
  <c r="B136" i="15" s="1"/>
  <c r="B125" i="24"/>
  <c r="B131" i="23"/>
  <c r="C131" i="23" s="1"/>
  <c r="B130" i="17"/>
  <c r="C130" i="17" s="1"/>
  <c r="K133" i="24"/>
  <c r="K122" i="24"/>
  <c r="K111" i="24"/>
  <c r="K100" i="24"/>
  <c r="K89" i="24"/>
  <c r="K78" i="24"/>
  <c r="K67" i="24"/>
  <c r="K56" i="24"/>
  <c r="K46" i="24"/>
  <c r="K46" i="15" s="1"/>
  <c r="K35" i="24"/>
  <c r="K35" i="15" s="1"/>
  <c r="K24" i="24"/>
  <c r="K24" i="15" s="1"/>
  <c r="K13" i="24"/>
  <c r="K13" i="15" s="1"/>
  <c r="K2" i="24"/>
  <c r="K2" i="15" s="1"/>
  <c r="K134" i="24"/>
  <c r="K112" i="24"/>
  <c r="K101" i="24"/>
  <c r="K79" i="24"/>
  <c r="K36" i="24"/>
  <c r="K36" i="15" s="1"/>
  <c r="K14" i="24"/>
  <c r="K14" i="15" s="1"/>
  <c r="K141" i="24"/>
  <c r="K119" i="24"/>
  <c r="K64" i="24"/>
  <c r="K32" i="24"/>
  <c r="K32" i="15" s="1"/>
  <c r="K115" i="24"/>
  <c r="K82" i="24"/>
  <c r="K71" i="24"/>
  <c r="K124" i="24"/>
  <c r="K91" i="24"/>
  <c r="K80" i="24"/>
  <c r="K58" i="24"/>
  <c r="K37" i="24"/>
  <c r="K37" i="15" s="1"/>
  <c r="K26" i="24"/>
  <c r="K26" i="15" s="1"/>
  <c r="K4" i="24"/>
  <c r="K4" i="15" s="1"/>
  <c r="K142" i="24"/>
  <c r="K131" i="24"/>
  <c r="K120" i="24"/>
  <c r="K109" i="24"/>
  <c r="K98" i="24"/>
  <c r="K87" i="24"/>
  <c r="K76" i="24"/>
  <c r="K65" i="24"/>
  <c r="K66" i="15" s="1"/>
  <c r="K54" i="24"/>
  <c r="K44" i="24"/>
  <c r="K44" i="15" s="1"/>
  <c r="K33" i="24"/>
  <c r="K33" i="15" s="1"/>
  <c r="K22" i="24"/>
  <c r="K22" i="15" s="1"/>
  <c r="K11" i="24"/>
  <c r="K11" i="15" s="1"/>
  <c r="K123" i="24"/>
  <c r="K90" i="24"/>
  <c r="K68" i="24"/>
  <c r="K47" i="24"/>
  <c r="K47" i="15" s="1"/>
  <c r="K25" i="24"/>
  <c r="K25" i="15" s="1"/>
  <c r="K3" i="24"/>
  <c r="K3" i="15" s="1"/>
  <c r="K108" i="24"/>
  <c r="K86" i="24"/>
  <c r="K53" i="24"/>
  <c r="K21" i="24"/>
  <c r="K21" i="15" s="1"/>
  <c r="K10" i="24"/>
  <c r="K10" i="15" s="1"/>
  <c r="K126" i="24"/>
  <c r="K104" i="24"/>
  <c r="K93" i="24"/>
  <c r="K60" i="24"/>
  <c r="K39" i="24"/>
  <c r="K39" i="15" s="1"/>
  <c r="K28" i="24"/>
  <c r="K28" i="15" s="1"/>
  <c r="K17" i="24"/>
  <c r="K17" i="15" s="1"/>
  <c r="K6" i="24"/>
  <c r="K6" i="15" s="1"/>
  <c r="K135" i="24"/>
  <c r="K113" i="24"/>
  <c r="K102" i="24"/>
  <c r="K69" i="24"/>
  <c r="K48" i="24"/>
  <c r="K48" i="15" s="1"/>
  <c r="K15" i="24"/>
  <c r="K15" i="15" s="1"/>
  <c r="K57" i="24"/>
  <c r="K140" i="24"/>
  <c r="K129" i="24"/>
  <c r="K118" i="24"/>
  <c r="K107" i="24"/>
  <c r="K96" i="24"/>
  <c r="K85" i="24"/>
  <c r="K74" i="24"/>
  <c r="K63" i="24"/>
  <c r="K52" i="24"/>
  <c r="K42" i="24"/>
  <c r="K42" i="15" s="1"/>
  <c r="K31" i="24"/>
  <c r="K31" i="15" s="1"/>
  <c r="K20" i="24"/>
  <c r="K20" i="15" s="1"/>
  <c r="K9" i="24"/>
  <c r="K9" i="15" s="1"/>
  <c r="K75" i="24"/>
  <c r="K137" i="24"/>
  <c r="K138" i="24"/>
  <c r="K127" i="24"/>
  <c r="K116" i="24"/>
  <c r="K105" i="24"/>
  <c r="K94" i="24"/>
  <c r="K83" i="24"/>
  <c r="K72" i="24"/>
  <c r="K61" i="24"/>
  <c r="K50" i="24"/>
  <c r="K50" i="15" s="1"/>
  <c r="K40" i="24"/>
  <c r="K40" i="15" s="1"/>
  <c r="K29" i="24"/>
  <c r="K29" i="15" s="1"/>
  <c r="K18" i="24"/>
  <c r="K18" i="15" s="1"/>
  <c r="K7" i="24"/>
  <c r="K7" i="15" s="1"/>
  <c r="K136" i="24"/>
  <c r="K125" i="24"/>
  <c r="K114" i="24"/>
  <c r="K103" i="24"/>
  <c r="K92" i="24"/>
  <c r="K93" i="15" s="1"/>
  <c r="K81" i="24"/>
  <c r="K70" i="24"/>
  <c r="K59" i="24"/>
  <c r="K49" i="24"/>
  <c r="K49" i="15" s="1"/>
  <c r="K38" i="24"/>
  <c r="K38" i="15" s="1"/>
  <c r="K27" i="24"/>
  <c r="K27" i="15" s="1"/>
  <c r="K16" i="24"/>
  <c r="K16" i="15" s="1"/>
  <c r="K5" i="24"/>
  <c r="K5" i="15" s="1"/>
  <c r="K43" i="24"/>
  <c r="K43" i="15" s="1"/>
  <c r="K130" i="24"/>
  <c r="K143" i="24"/>
  <c r="K132" i="24"/>
  <c r="K121" i="24"/>
  <c r="K110" i="24"/>
  <c r="K99" i="24"/>
  <c r="K88" i="24"/>
  <c r="K77" i="24"/>
  <c r="K66" i="24"/>
  <c r="K55" i="24"/>
  <c r="K45" i="24"/>
  <c r="K45" i="15" s="1"/>
  <c r="K34" i="24"/>
  <c r="K34" i="15" s="1"/>
  <c r="K23" i="24"/>
  <c r="K23" i="15" s="1"/>
  <c r="K12" i="24"/>
  <c r="K12" i="15" s="1"/>
  <c r="K97" i="24"/>
  <c r="K139" i="24"/>
  <c r="K128" i="24"/>
  <c r="K117" i="24"/>
  <c r="K106" i="24"/>
  <c r="K95" i="24"/>
  <c r="K84" i="24"/>
  <c r="K73" i="24"/>
  <c r="K62" i="24"/>
  <c r="K51" i="24"/>
  <c r="K41" i="24"/>
  <c r="K41" i="15" s="1"/>
  <c r="K30" i="24"/>
  <c r="K30" i="15" s="1"/>
  <c r="K19" i="24"/>
  <c r="K19" i="15" s="1"/>
  <c r="K8" i="24"/>
  <c r="K8" i="15" s="1"/>
  <c r="J5" i="2"/>
  <c r="A7" i="23"/>
  <c r="A2" i="24"/>
  <c r="A2" i="15" s="1"/>
  <c r="B58" i="17"/>
  <c r="C58" i="17" s="1"/>
  <c r="B53" i="24"/>
  <c r="B59" i="23"/>
  <c r="C59" i="23" s="1"/>
  <c r="B19" i="17"/>
  <c r="C19" i="17" s="1"/>
  <c r="B14" i="24"/>
  <c r="B14" i="15" s="1"/>
  <c r="B19" i="23"/>
  <c r="C19" i="23" s="1"/>
  <c r="B45" i="17"/>
  <c r="C45" i="17" s="1"/>
  <c r="B40" i="24"/>
  <c r="B40" i="15" s="1"/>
  <c r="B45" i="23"/>
  <c r="C45" i="23" s="1"/>
  <c r="P5" i="2"/>
  <c r="C69" i="17"/>
  <c r="A7" i="17"/>
  <c r="T5" i="2"/>
  <c r="V5" i="2"/>
  <c r="U5" i="2" s="1"/>
  <c r="I21" i="5"/>
  <c r="H12" i="3" s="1"/>
  <c r="H45" i="2"/>
  <c r="H36" i="2"/>
  <c r="H16" i="2"/>
  <c r="H55" i="2"/>
  <c r="H48" i="2"/>
  <c r="H24" i="2"/>
  <c r="H65" i="2"/>
  <c r="H42" i="2"/>
  <c r="H40" i="2"/>
  <c r="H46" i="2"/>
  <c r="H18" i="2"/>
  <c r="H47" i="2"/>
  <c r="H14" i="2"/>
  <c r="H38" i="2"/>
  <c r="H12" i="2"/>
  <c r="H37" i="2"/>
  <c r="H6" i="2"/>
  <c r="H29" i="2"/>
  <c r="H41" i="2"/>
  <c r="H44" i="2"/>
  <c r="H39" i="2"/>
  <c r="H34" i="2"/>
  <c r="H25" i="2"/>
  <c r="H27" i="2"/>
  <c r="H50" i="2"/>
  <c r="H28" i="2"/>
  <c r="H57" i="2"/>
  <c r="H13" i="2"/>
  <c r="H59" i="2"/>
  <c r="H11" i="2"/>
  <c r="H7" i="2"/>
  <c r="H23" i="2"/>
  <c r="H61" i="2"/>
  <c r="H26" i="2"/>
  <c r="H20" i="2"/>
  <c r="H58" i="2"/>
  <c r="H54" i="2"/>
  <c r="H51" i="2"/>
  <c r="H9" i="2"/>
  <c r="H35" i="2"/>
  <c r="H10" i="2"/>
  <c r="H19" i="2"/>
  <c r="H64" i="2"/>
  <c r="H15" i="2"/>
  <c r="H49" i="2"/>
  <c r="H63" i="2"/>
  <c r="H22" i="2"/>
  <c r="H33" i="2"/>
  <c r="H32" i="2"/>
  <c r="H62" i="2"/>
  <c r="H21" i="2"/>
  <c r="H60" i="2"/>
  <c r="H52" i="2"/>
  <c r="H30" i="2"/>
  <c r="H53" i="2"/>
  <c r="H31" i="2"/>
  <c r="H8" i="2"/>
  <c r="K136" i="15" l="1"/>
  <c r="B108" i="15"/>
  <c r="K98" i="15"/>
  <c r="K106" i="15"/>
  <c r="K134" i="15"/>
  <c r="B123" i="15"/>
  <c r="B133" i="15"/>
  <c r="K120" i="15"/>
  <c r="K142" i="15"/>
  <c r="B113" i="15"/>
  <c r="K88" i="15"/>
  <c r="K73" i="15"/>
  <c r="B99" i="15"/>
  <c r="K60" i="15"/>
  <c r="K77" i="15"/>
  <c r="B91" i="15"/>
  <c r="B109" i="15"/>
  <c r="K122" i="15"/>
  <c r="B74" i="15"/>
  <c r="K62" i="15"/>
  <c r="K130" i="15"/>
  <c r="K57" i="15"/>
  <c r="B103" i="15"/>
  <c r="K68" i="15"/>
  <c r="K95" i="15"/>
  <c r="B100" i="15"/>
  <c r="K139" i="15"/>
  <c r="K65" i="15"/>
  <c r="B132" i="15"/>
  <c r="K76" i="15"/>
  <c r="K55" i="15"/>
  <c r="B81" i="15"/>
  <c r="B94" i="15"/>
  <c r="K111" i="15"/>
  <c r="K138" i="15"/>
  <c r="K82" i="15"/>
  <c r="K104" i="15"/>
  <c r="K61" i="15"/>
  <c r="K80" i="15"/>
  <c r="K115" i="15"/>
  <c r="K94" i="15"/>
  <c r="K102" i="15"/>
  <c r="K105" i="15"/>
  <c r="K118" i="15"/>
  <c r="K129" i="15"/>
  <c r="K71" i="15"/>
  <c r="K78" i="15"/>
  <c r="K86" i="15"/>
  <c r="K56" i="15"/>
  <c r="K113" i="15"/>
  <c r="K67" i="15"/>
  <c r="K127" i="15"/>
  <c r="K121" i="15"/>
  <c r="K89" i="15"/>
  <c r="K140" i="15"/>
  <c r="K100" i="15"/>
  <c r="K108" i="15"/>
  <c r="B82" i="15"/>
  <c r="B118" i="15"/>
  <c r="B102" i="15"/>
  <c r="B84" i="15"/>
  <c r="B134" i="15"/>
  <c r="B98" i="15"/>
  <c r="B142" i="15"/>
  <c r="B126" i="15"/>
  <c r="B105" i="15"/>
  <c r="B120" i="15"/>
  <c r="B69" i="15"/>
  <c r="B73" i="15"/>
  <c r="K53" i="15"/>
  <c r="K99" i="15"/>
  <c r="K126" i="15"/>
  <c r="K64" i="15"/>
  <c r="K110" i="15"/>
  <c r="K137" i="15"/>
  <c r="B107" i="15"/>
  <c r="K132" i="15"/>
  <c r="K97" i="15"/>
  <c r="K143" i="15"/>
  <c r="B89" i="15"/>
  <c r="B137" i="15"/>
  <c r="B97" i="15"/>
  <c r="K135" i="15"/>
  <c r="B71" i="15"/>
  <c r="B90" i="15"/>
  <c r="K51" i="15"/>
  <c r="K109" i="15"/>
  <c r="B143" i="15"/>
  <c r="B70" i="15"/>
  <c r="B135" i="15"/>
  <c r="B68" i="15"/>
  <c r="K54" i="15"/>
  <c r="K87" i="15"/>
  <c r="B104" i="15"/>
  <c r="K79" i="15"/>
  <c r="B122" i="15"/>
  <c r="B106" i="15"/>
  <c r="B141" i="15"/>
  <c r="K75" i="15"/>
  <c r="B72" i="15"/>
  <c r="B130" i="15"/>
  <c r="K133" i="15"/>
  <c r="B112" i="15"/>
  <c r="B111" i="15"/>
  <c r="K63" i="15"/>
  <c r="K131" i="15"/>
  <c r="K84" i="15"/>
  <c r="K92" i="15"/>
  <c r="K74" i="15"/>
  <c r="K69" i="15"/>
  <c r="K125" i="15"/>
  <c r="K90" i="15"/>
  <c r="B117" i="15"/>
  <c r="B125" i="15"/>
  <c r="B140" i="15"/>
  <c r="B139" i="15"/>
  <c r="K119" i="15"/>
  <c r="K141" i="15"/>
  <c r="K59" i="15"/>
  <c r="B93" i="15"/>
  <c r="B80" i="15"/>
  <c r="K52" i="15"/>
  <c r="K58" i="15"/>
  <c r="K81" i="15"/>
  <c r="K85" i="15"/>
  <c r="K70" i="15"/>
  <c r="K91" i="15"/>
  <c r="K72" i="15"/>
  <c r="K101" i="15"/>
  <c r="B129" i="15"/>
  <c r="B128" i="15"/>
  <c r="B121" i="15"/>
  <c r="K96" i="15"/>
  <c r="K117" i="15"/>
  <c r="K103" i="15"/>
  <c r="K124" i="15"/>
  <c r="K83" i="15"/>
  <c r="K112" i="15"/>
  <c r="B78" i="15"/>
  <c r="B77" i="15"/>
  <c r="B83" i="15"/>
  <c r="B88" i="15"/>
  <c r="B65" i="15"/>
  <c r="K107" i="15"/>
  <c r="K128" i="15"/>
  <c r="K114" i="15"/>
  <c r="K116" i="15"/>
  <c r="K123" i="15"/>
  <c r="B95" i="15"/>
  <c r="B119" i="15"/>
  <c r="G49" i="9"/>
  <c r="I16" i="19" s="1"/>
  <c r="F49" i="9"/>
  <c r="C52" i="9" s="1"/>
  <c r="B7" i="17"/>
  <c r="C7" i="17" s="1"/>
  <c r="B7" i="23"/>
  <c r="C7" i="23" s="1"/>
  <c r="B2" i="24"/>
  <c r="B2" i="15" s="1"/>
  <c r="I14" i="2"/>
  <c r="I11" i="2"/>
  <c r="I45" i="2"/>
  <c r="I29" i="2"/>
  <c r="I36" i="2"/>
  <c r="I40" i="2"/>
  <c r="I37" i="2"/>
  <c r="I25" i="2"/>
  <c r="I65" i="2"/>
  <c r="I27" i="2"/>
  <c r="I48" i="2"/>
  <c r="I50" i="2"/>
  <c r="I55" i="2"/>
  <c r="I41" i="2"/>
  <c r="I34" i="2"/>
  <c r="I60" i="2"/>
  <c r="I21" i="2"/>
  <c r="I24" i="2"/>
  <c r="I16" i="2"/>
  <c r="I12" i="2"/>
  <c r="I38" i="2"/>
  <c r="I20" i="2"/>
  <c r="I28" i="2"/>
  <c r="I47" i="2"/>
  <c r="I42" i="2"/>
  <c r="I35" i="2"/>
  <c r="I58" i="2"/>
  <c r="I59" i="2"/>
  <c r="I57" i="2"/>
  <c r="I26" i="2"/>
  <c r="I39" i="2"/>
  <c r="I18" i="2"/>
  <c r="I6" i="2"/>
  <c r="I9" i="2"/>
  <c r="I46" i="2"/>
  <c r="I19" i="2"/>
  <c r="I33" i="2"/>
  <c r="I44" i="2"/>
  <c r="I54" i="2"/>
  <c r="I32" i="2"/>
  <c r="I51" i="2"/>
  <c r="I61" i="2"/>
  <c r="I7" i="2"/>
  <c r="I63" i="2"/>
  <c r="I53" i="2"/>
  <c r="A55" i="23" s="1"/>
  <c r="I31" i="2"/>
  <c r="I62" i="2"/>
  <c r="I8" i="2"/>
  <c r="I22" i="2"/>
  <c r="I13" i="2"/>
  <c r="I23" i="2"/>
  <c r="I64" i="2"/>
  <c r="I10" i="2"/>
  <c r="I49" i="2"/>
  <c r="I15" i="2"/>
  <c r="I52" i="2"/>
  <c r="I30" i="2"/>
  <c r="C53" i="9" l="1"/>
  <c r="D16" i="19" s="1"/>
  <c r="D15" i="19"/>
  <c r="R3" i="21"/>
  <c r="I15" i="19"/>
  <c r="J50" i="2"/>
  <c r="A52" i="23"/>
  <c r="A47" i="24"/>
  <c r="A47" i="15" s="1"/>
  <c r="J27" i="2"/>
  <c r="A29" i="23"/>
  <c r="A24" i="24"/>
  <c r="A24" i="15" s="1"/>
  <c r="J63" i="2"/>
  <c r="A66" i="23"/>
  <c r="A60" i="24"/>
  <c r="J9" i="2"/>
  <c r="A11" i="23"/>
  <c r="A6" i="24"/>
  <c r="A6" i="15" s="1"/>
  <c r="J49" i="2"/>
  <c r="A51" i="23"/>
  <c r="A46" i="24"/>
  <c r="A46" i="15" s="1"/>
  <c r="J26" i="2"/>
  <c r="A28" i="23"/>
  <c r="A23" i="24"/>
  <c r="A23" i="15" s="1"/>
  <c r="J59" i="2"/>
  <c r="A62" i="23"/>
  <c r="A56" i="24"/>
  <c r="J8" i="2"/>
  <c r="A5" i="24"/>
  <c r="A5" i="15" s="1"/>
  <c r="A10" i="23"/>
  <c r="J31" i="2"/>
  <c r="A33" i="23"/>
  <c r="A28" i="24"/>
  <c r="A28" i="15" s="1"/>
  <c r="J38" i="2"/>
  <c r="A40" i="23"/>
  <c r="A35" i="24"/>
  <c r="A35" i="15" s="1"/>
  <c r="J61" i="2"/>
  <c r="A64" i="23"/>
  <c r="A58" i="24"/>
  <c r="J21" i="2"/>
  <c r="A18" i="24"/>
  <c r="A18" i="15" s="1"/>
  <c r="A23" i="23"/>
  <c r="J6" i="2"/>
  <c r="A3" i="24"/>
  <c r="A3" i="15" s="1"/>
  <c r="A8" i="23"/>
  <c r="J10" i="2"/>
  <c r="A12" i="23"/>
  <c r="A7" i="24"/>
  <c r="A7" i="15" s="1"/>
  <c r="J25" i="2"/>
  <c r="A22" i="24"/>
  <c r="A22" i="15" s="1"/>
  <c r="A27" i="23"/>
  <c r="J13" i="2"/>
  <c r="A15" i="23"/>
  <c r="A10" i="24"/>
  <c r="A10" i="15" s="1"/>
  <c r="J36" i="2"/>
  <c r="A33" i="24"/>
  <c r="A33" i="15" s="1"/>
  <c r="A38" i="23"/>
  <c r="J42" i="2"/>
  <c r="A44" i="23"/>
  <c r="A39" i="24"/>
  <c r="A39" i="15" s="1"/>
  <c r="J28" i="2"/>
  <c r="A30" i="23"/>
  <c r="A25" i="24"/>
  <c r="A25" i="15" s="1"/>
  <c r="J20" i="2"/>
  <c r="A22" i="23"/>
  <c r="A17" i="24"/>
  <c r="A17" i="15" s="1"/>
  <c r="J12" i="2"/>
  <c r="A14" i="23"/>
  <c r="A9" i="24"/>
  <c r="A9" i="15" s="1"/>
  <c r="J32" i="2"/>
  <c r="A34" i="23"/>
  <c r="A29" i="24"/>
  <c r="A29" i="15" s="1"/>
  <c r="J60" i="2"/>
  <c r="A63" i="23"/>
  <c r="A57" i="24"/>
  <c r="J15" i="2"/>
  <c r="A17" i="23"/>
  <c r="A12" i="24"/>
  <c r="A12" i="15" s="1"/>
  <c r="J39" i="2"/>
  <c r="A41" i="23"/>
  <c r="A36" i="24"/>
  <c r="A36" i="15" s="1"/>
  <c r="J37" i="2"/>
  <c r="A39" i="23"/>
  <c r="A34" i="24"/>
  <c r="A34" i="15" s="1"/>
  <c r="J58" i="2"/>
  <c r="A61" i="23"/>
  <c r="A55" i="24"/>
  <c r="J62" i="2"/>
  <c r="A59" i="24"/>
  <c r="A65" i="23"/>
  <c r="J47" i="2"/>
  <c r="A44" i="24"/>
  <c r="A44" i="15" s="1"/>
  <c r="A49" i="23"/>
  <c r="J14" i="2"/>
  <c r="A11" i="24"/>
  <c r="A11" i="15" s="1"/>
  <c r="A16" i="23"/>
  <c r="J51" i="2"/>
  <c r="A53" i="23"/>
  <c r="A48" i="24"/>
  <c r="A48" i="15" s="1"/>
  <c r="J34" i="2"/>
  <c r="A36" i="23"/>
  <c r="A31" i="24"/>
  <c r="A31" i="15" s="1"/>
  <c r="J52" i="2"/>
  <c r="A49" i="24"/>
  <c r="A49" i="15" s="1"/>
  <c r="A54" i="23"/>
  <c r="J18" i="2"/>
  <c r="A20" i="23"/>
  <c r="A15" i="24"/>
  <c r="A15" i="15" s="1"/>
  <c r="J64" i="2"/>
  <c r="A61" i="24"/>
  <c r="A62" i="15" s="1"/>
  <c r="A67" i="23"/>
  <c r="J57" i="2"/>
  <c r="A54" i="24"/>
  <c r="A60" i="23"/>
  <c r="J22" i="2"/>
  <c r="A19" i="24"/>
  <c r="A19" i="15" s="1"/>
  <c r="A24" i="23"/>
  <c r="J29" i="2"/>
  <c r="A31" i="23"/>
  <c r="A26" i="24"/>
  <c r="A26" i="15" s="1"/>
  <c r="J11" i="2"/>
  <c r="A8" i="24"/>
  <c r="A8" i="15" s="1"/>
  <c r="A13" i="23"/>
  <c r="J16" i="2"/>
  <c r="A18" i="23"/>
  <c r="A13" i="24"/>
  <c r="A13" i="15" s="1"/>
  <c r="J44" i="2"/>
  <c r="A41" i="24"/>
  <c r="A41" i="15" s="1"/>
  <c r="A46" i="23"/>
  <c r="J19" i="2"/>
  <c r="A16" i="24"/>
  <c r="A16" i="15" s="1"/>
  <c r="A21" i="23"/>
  <c r="J41" i="2"/>
  <c r="A38" i="24"/>
  <c r="A38" i="15" s="1"/>
  <c r="A43" i="23"/>
  <c r="J48" i="2"/>
  <c r="A50" i="23"/>
  <c r="A45" i="24"/>
  <c r="A45" i="15" s="1"/>
  <c r="J65" i="2"/>
  <c r="A62" i="24"/>
  <c r="A63" i="15" s="1"/>
  <c r="A68" i="23"/>
  <c r="J23" i="2"/>
  <c r="A20" i="24"/>
  <c r="A20" i="15" s="1"/>
  <c r="A25" i="23"/>
  <c r="J40" i="2"/>
  <c r="A42" i="23"/>
  <c r="A37" i="24"/>
  <c r="A37" i="15" s="1"/>
  <c r="J35" i="2"/>
  <c r="A37" i="23"/>
  <c r="A32" i="24"/>
  <c r="A32" i="15" s="1"/>
  <c r="J45" i="2"/>
  <c r="A47" i="23"/>
  <c r="A42" i="24"/>
  <c r="A42" i="15" s="1"/>
  <c r="J53" i="2"/>
  <c r="A56" i="23"/>
  <c r="A50" i="24"/>
  <c r="A50" i="15" s="1"/>
  <c r="J7" i="2"/>
  <c r="A9" i="23"/>
  <c r="A4" i="24"/>
  <c r="A4" i="15" s="1"/>
  <c r="J24" i="2"/>
  <c r="A21" i="24"/>
  <c r="A21" i="15" s="1"/>
  <c r="A26" i="23"/>
  <c r="J54" i="2"/>
  <c r="A51" i="24"/>
  <c r="A57" i="23"/>
  <c r="J33" i="2"/>
  <c r="A30" i="24"/>
  <c r="A30" i="15" s="1"/>
  <c r="A35" i="23"/>
  <c r="J30" i="2"/>
  <c r="A27" i="24"/>
  <c r="A27" i="15" s="1"/>
  <c r="A32" i="23"/>
  <c r="J46" i="2"/>
  <c r="A48" i="23"/>
  <c r="A43" i="24"/>
  <c r="A43" i="15" s="1"/>
  <c r="J55" i="2"/>
  <c r="A52" i="24"/>
  <c r="A53" i="15" s="1"/>
  <c r="A58" i="23"/>
  <c r="A67" i="17"/>
  <c r="A60" i="17"/>
  <c r="A18" i="17"/>
  <c r="A42" i="17"/>
  <c r="A29" i="17"/>
  <c r="A31" i="17"/>
  <c r="A47" i="17"/>
  <c r="A53" i="17"/>
  <c r="A14" i="17"/>
  <c r="A23" i="17"/>
  <c r="A40" i="17"/>
  <c r="A37" i="17"/>
  <c r="A44" i="17"/>
  <c r="A38" i="17"/>
  <c r="A49" i="17"/>
  <c r="A57" i="17"/>
  <c r="A56" i="17"/>
  <c r="A52" i="17"/>
  <c r="A63" i="17"/>
  <c r="A24" i="17"/>
  <c r="A10" i="17"/>
  <c r="A46" i="17"/>
  <c r="A64" i="17"/>
  <c r="A35" i="17"/>
  <c r="A48" i="17"/>
  <c r="A9" i="17"/>
  <c r="A12" i="17"/>
  <c r="A26" i="17"/>
  <c r="A66" i="17"/>
  <c r="A8" i="17"/>
  <c r="A15" i="17"/>
  <c r="A20" i="17"/>
  <c r="A34" i="17"/>
  <c r="A65" i="17"/>
  <c r="A25" i="17"/>
  <c r="A36" i="17"/>
  <c r="A61" i="17"/>
  <c r="A51" i="17"/>
  <c r="A39" i="17"/>
  <c r="A62" i="17"/>
  <c r="A11" i="17"/>
  <c r="A43" i="17"/>
  <c r="A41" i="17"/>
  <c r="A50" i="17"/>
  <c r="A30" i="17"/>
  <c r="A13" i="17"/>
  <c r="A33" i="17"/>
  <c r="A21" i="17"/>
  <c r="A28" i="17"/>
  <c r="A22" i="17"/>
  <c r="A32" i="17"/>
  <c r="A59" i="17"/>
  <c r="A16" i="17"/>
  <c r="A17" i="17"/>
  <c r="A54" i="17"/>
  <c r="A55" i="17"/>
  <c r="A27" i="17"/>
  <c r="V55" i="2"/>
  <c r="U55" i="2" s="1"/>
  <c r="V54" i="2"/>
  <c r="U54" i="2" s="1"/>
  <c r="V50" i="2"/>
  <c r="U50" i="2" s="1"/>
  <c r="V8" i="2"/>
  <c r="U8" i="2" s="1"/>
  <c r="V44" i="2"/>
  <c r="U44" i="2" s="1"/>
  <c r="V65" i="2"/>
  <c r="U65" i="2" s="1"/>
  <c r="V22" i="2"/>
  <c r="U22" i="2" s="1"/>
  <c r="V27" i="2"/>
  <c r="U27" i="2" s="1"/>
  <c r="V38" i="2"/>
  <c r="U38" i="2" s="1"/>
  <c r="V12" i="2"/>
  <c r="U12" i="2" s="1"/>
  <c r="V58" i="2"/>
  <c r="U58" i="2" s="1"/>
  <c r="V40" i="2"/>
  <c r="U40" i="2" s="1"/>
  <c r="V35" i="2"/>
  <c r="U35" i="2" s="1"/>
  <c r="V47" i="2"/>
  <c r="U47" i="2" s="1"/>
  <c r="V62" i="2"/>
  <c r="U62" i="2" s="1"/>
  <c r="V61" i="2"/>
  <c r="U61" i="2" s="1"/>
  <c r="V21" i="2"/>
  <c r="U21" i="2" s="1"/>
  <c r="V33" i="2"/>
  <c r="U33" i="2" s="1"/>
  <c r="V16" i="2"/>
  <c r="U16" i="2" s="1"/>
  <c r="V45" i="2"/>
  <c r="U45" i="2" s="1"/>
  <c r="V36" i="2"/>
  <c r="U36" i="2" s="1"/>
  <c r="V29" i="2"/>
  <c r="U29" i="2" s="1"/>
  <c r="V51" i="2"/>
  <c r="U51" i="2" s="1"/>
  <c r="V42" i="2"/>
  <c r="U42" i="2" s="1"/>
  <c r="T60" i="2"/>
  <c r="V60" i="2"/>
  <c r="U60" i="2" s="1"/>
  <c r="P18" i="2"/>
  <c r="V18" i="2"/>
  <c r="U18" i="2" s="1"/>
  <c r="T14" i="2"/>
  <c r="V14" i="2"/>
  <c r="U14" i="2" s="1"/>
  <c r="T34" i="2"/>
  <c r="V34" i="2"/>
  <c r="U34" i="2" s="1"/>
  <c r="P13" i="2"/>
  <c r="V13" i="2"/>
  <c r="U13" i="2" s="1"/>
  <c r="P32" i="2"/>
  <c r="V32" i="2"/>
  <c r="U32" i="2" s="1"/>
  <c r="T39" i="2"/>
  <c r="V39" i="2"/>
  <c r="U39" i="2" s="1"/>
  <c r="T48" i="2"/>
  <c r="V48" i="2"/>
  <c r="U48" i="2" s="1"/>
  <c r="T26" i="2"/>
  <c r="V26" i="2"/>
  <c r="U26" i="2" s="1"/>
  <c r="T57" i="2"/>
  <c r="V57" i="2"/>
  <c r="U57" i="2" s="1"/>
  <c r="P64" i="2"/>
  <c r="V64" i="2"/>
  <c r="U64" i="2" s="1"/>
  <c r="T11" i="2"/>
  <c r="V11" i="2"/>
  <c r="U11" i="2" s="1"/>
  <c r="T9" i="2"/>
  <c r="V9" i="2"/>
  <c r="U9" i="2" s="1"/>
  <c r="T41" i="2"/>
  <c r="V41" i="2"/>
  <c r="U41" i="2" s="1"/>
  <c r="T20" i="2"/>
  <c r="V20" i="2"/>
  <c r="U20" i="2" s="1"/>
  <c r="P53" i="2"/>
  <c r="B55" i="23" s="1"/>
  <c r="C55" i="23" s="1"/>
  <c r="V53" i="2"/>
  <c r="U53" i="2" s="1"/>
  <c r="T25" i="2"/>
  <c r="V25" i="2"/>
  <c r="U25" i="2" s="1"/>
  <c r="T23" i="2"/>
  <c r="V23" i="2"/>
  <c r="U23" i="2" s="1"/>
  <c r="P6" i="2"/>
  <c r="V6" i="2"/>
  <c r="U6" i="2" s="1"/>
  <c r="P30" i="2"/>
  <c r="V30" i="2"/>
  <c r="U30" i="2" s="1"/>
  <c r="P52" i="2"/>
  <c r="V52" i="2"/>
  <c r="U52" i="2" s="1"/>
  <c r="P15" i="2"/>
  <c r="V15" i="2"/>
  <c r="U15" i="2" s="1"/>
  <c r="T59" i="2"/>
  <c r="V59" i="2"/>
  <c r="U59" i="2" s="1"/>
  <c r="T28" i="2"/>
  <c r="V28" i="2"/>
  <c r="U28" i="2" s="1"/>
  <c r="P49" i="2"/>
  <c r="V49" i="2"/>
  <c r="U49" i="2" s="1"/>
  <c r="P63" i="2"/>
  <c r="V63" i="2"/>
  <c r="U63" i="2" s="1"/>
  <c r="T46" i="2"/>
  <c r="V46" i="2"/>
  <c r="U46" i="2" s="1"/>
  <c r="T37" i="2"/>
  <c r="V37" i="2"/>
  <c r="U37" i="2" s="1"/>
  <c r="P10" i="2"/>
  <c r="V10" i="2"/>
  <c r="U10" i="2" s="1"/>
  <c r="P7" i="2"/>
  <c r="V7" i="2"/>
  <c r="T31" i="2"/>
  <c r="V31" i="2"/>
  <c r="U31" i="2" s="1"/>
  <c r="T19" i="2"/>
  <c r="V19" i="2"/>
  <c r="U19" i="2" s="1"/>
  <c r="T24" i="2"/>
  <c r="V24" i="2"/>
  <c r="U24" i="2" s="1"/>
  <c r="P28" i="2"/>
  <c r="P50" i="2"/>
  <c r="P8" i="2"/>
  <c r="P39" i="2"/>
  <c r="P46" i="2"/>
  <c r="P33" i="2"/>
  <c r="P20" i="2"/>
  <c r="P31" i="2"/>
  <c r="P65" i="2"/>
  <c r="P25" i="2"/>
  <c r="P58" i="2"/>
  <c r="P16" i="2"/>
  <c r="P38" i="2"/>
  <c r="P12" i="2"/>
  <c r="P59" i="2"/>
  <c r="P57" i="2"/>
  <c r="P23" i="2"/>
  <c r="P19" i="2"/>
  <c r="P61" i="2"/>
  <c r="P44" i="2"/>
  <c r="P40" i="2"/>
  <c r="P36" i="2"/>
  <c r="P21" i="2"/>
  <c r="P60" i="2"/>
  <c r="P35" i="2"/>
  <c r="P29" i="2"/>
  <c r="P11" i="2"/>
  <c r="P42" i="2"/>
  <c r="P55" i="2"/>
  <c r="P51" i="2"/>
  <c r="P27" i="2"/>
  <c r="P34" i="2"/>
  <c r="P37" i="2"/>
  <c r="P24" i="2"/>
  <c r="P62" i="2"/>
  <c r="P14" i="2"/>
  <c r="P41" i="2"/>
  <c r="P54" i="2"/>
  <c r="P9" i="2"/>
  <c r="P45" i="2"/>
  <c r="P47" i="2"/>
  <c r="P48" i="2"/>
  <c r="P26" i="2"/>
  <c r="P22" i="2"/>
  <c r="T45" i="2"/>
  <c r="T29" i="2"/>
  <c r="T40" i="2"/>
  <c r="T27" i="2"/>
  <c r="T65" i="2"/>
  <c r="T50" i="2"/>
  <c r="T36" i="2"/>
  <c r="T55" i="2"/>
  <c r="T12" i="2"/>
  <c r="T21" i="2"/>
  <c r="T16" i="2"/>
  <c r="T38" i="2"/>
  <c r="T47" i="2"/>
  <c r="T42" i="2"/>
  <c r="T58" i="2"/>
  <c r="T54" i="2"/>
  <c r="T35" i="2"/>
  <c r="T44" i="2"/>
  <c r="T33" i="2"/>
  <c r="T6" i="2"/>
  <c r="T18" i="2"/>
  <c r="T22" i="2"/>
  <c r="T61" i="2"/>
  <c r="T32" i="2"/>
  <c r="T51" i="2"/>
  <c r="T7" i="2"/>
  <c r="T13" i="2"/>
  <c r="T8" i="2"/>
  <c r="T62" i="2"/>
  <c r="T53" i="2"/>
  <c r="T63" i="2"/>
  <c r="T49" i="2"/>
  <c r="T10" i="2"/>
  <c r="T15" i="2"/>
  <c r="T30" i="2"/>
  <c r="T64" i="2"/>
  <c r="T52" i="2"/>
  <c r="A60" i="15" l="1"/>
  <c r="A56" i="15"/>
  <c r="A61" i="15"/>
  <c r="A59" i="15"/>
  <c r="A58" i="15"/>
  <c r="A57" i="15"/>
  <c r="A55" i="15"/>
  <c r="A54" i="15"/>
  <c r="A52" i="15"/>
  <c r="A51" i="15"/>
  <c r="R3" i="22"/>
  <c r="B41" i="17"/>
  <c r="C41" i="17" s="1"/>
  <c r="B41" i="23"/>
  <c r="C41" i="23" s="1"/>
  <c r="B36" i="24"/>
  <c r="B36" i="15" s="1"/>
  <c r="B28" i="17"/>
  <c r="C28" i="17" s="1"/>
  <c r="B28" i="23"/>
  <c r="C28" i="23" s="1"/>
  <c r="B23" i="24"/>
  <c r="B23" i="15" s="1"/>
  <c r="B38" i="17"/>
  <c r="C38" i="17" s="1"/>
  <c r="B33" i="24"/>
  <c r="B33" i="15" s="1"/>
  <c r="B38" i="23"/>
  <c r="C38" i="23" s="1"/>
  <c r="B57" i="17"/>
  <c r="C57" i="17" s="1"/>
  <c r="B52" i="24"/>
  <c r="B53" i="15" s="1"/>
  <c r="B58" i="23"/>
  <c r="C58" i="23" s="1"/>
  <c r="B66" i="17"/>
  <c r="C66" i="17" s="1"/>
  <c r="B67" i="23"/>
  <c r="C67" i="23" s="1"/>
  <c r="B61" i="24"/>
  <c r="B22" i="17"/>
  <c r="C22" i="17" s="1"/>
  <c r="B17" i="24"/>
  <c r="B17" i="15" s="1"/>
  <c r="B22" i="23"/>
  <c r="C22" i="23" s="1"/>
  <c r="B65" i="17"/>
  <c r="C65" i="17" s="1"/>
  <c r="B60" i="24"/>
  <c r="B66" i="23"/>
  <c r="C66" i="23" s="1"/>
  <c r="B44" i="17"/>
  <c r="C44" i="17" s="1"/>
  <c r="B39" i="24"/>
  <c r="B39" i="15" s="1"/>
  <c r="B44" i="23"/>
  <c r="C44" i="23" s="1"/>
  <c r="B35" i="17"/>
  <c r="C35" i="17" s="1"/>
  <c r="B30" i="24"/>
  <c r="B30" i="15" s="1"/>
  <c r="B35" i="23"/>
  <c r="C35" i="23" s="1"/>
  <c r="B13" i="17"/>
  <c r="C13" i="17" s="1"/>
  <c r="B8" i="24"/>
  <c r="B8" i="15" s="1"/>
  <c r="B13" i="23"/>
  <c r="C13" i="23" s="1"/>
  <c r="B48" i="17"/>
  <c r="C48" i="17" s="1"/>
  <c r="B48" i="23"/>
  <c r="C48" i="23" s="1"/>
  <c r="B43" i="24"/>
  <c r="B43" i="15" s="1"/>
  <c r="B51" i="17"/>
  <c r="C51" i="17" s="1"/>
  <c r="B51" i="23"/>
  <c r="C51" i="23" s="1"/>
  <c r="B46" i="24"/>
  <c r="B46" i="15" s="1"/>
  <c r="B37" i="17"/>
  <c r="C37" i="17" s="1"/>
  <c r="B37" i="23"/>
  <c r="C37" i="23" s="1"/>
  <c r="B32" i="24"/>
  <c r="B32" i="15" s="1"/>
  <c r="B10" i="17"/>
  <c r="C10" i="17" s="1"/>
  <c r="B5" i="24"/>
  <c r="B5" i="15" s="1"/>
  <c r="B10" i="23"/>
  <c r="C10" i="23" s="1"/>
  <c r="B20" i="17"/>
  <c r="C20" i="17" s="1"/>
  <c r="B20" i="23"/>
  <c r="C20" i="23" s="1"/>
  <c r="B15" i="24"/>
  <c r="B15" i="15" s="1"/>
  <c r="B62" i="17"/>
  <c r="C62" i="17" s="1"/>
  <c r="B63" i="23"/>
  <c r="C63" i="23" s="1"/>
  <c r="B57" i="24"/>
  <c r="B52" i="17"/>
  <c r="C52" i="17" s="1"/>
  <c r="B52" i="23"/>
  <c r="C52" i="23" s="1"/>
  <c r="B47" i="24"/>
  <c r="B47" i="15" s="1"/>
  <c r="B24" i="17"/>
  <c r="C24" i="17" s="1"/>
  <c r="B19" i="24"/>
  <c r="B19" i="15" s="1"/>
  <c r="B24" i="23"/>
  <c r="C24" i="23" s="1"/>
  <c r="B23" i="17"/>
  <c r="C23" i="17" s="1"/>
  <c r="B18" i="24"/>
  <c r="B18" i="15" s="1"/>
  <c r="B23" i="23"/>
  <c r="C23" i="23" s="1"/>
  <c r="B30" i="17"/>
  <c r="C30" i="17" s="1"/>
  <c r="B30" i="23"/>
  <c r="C30" i="23" s="1"/>
  <c r="B25" i="24"/>
  <c r="B25" i="15" s="1"/>
  <c r="B54" i="17"/>
  <c r="C54" i="17" s="1"/>
  <c r="B49" i="24"/>
  <c r="B49" i="15" s="1"/>
  <c r="B54" i="23"/>
  <c r="C54" i="23" s="1"/>
  <c r="B31" i="17"/>
  <c r="C31" i="17" s="1"/>
  <c r="B31" i="23"/>
  <c r="C31" i="23" s="1"/>
  <c r="B26" i="24"/>
  <c r="B26" i="15" s="1"/>
  <c r="B49" i="17"/>
  <c r="C49" i="17" s="1"/>
  <c r="B44" i="24"/>
  <c r="B44" i="15" s="1"/>
  <c r="B49" i="23"/>
  <c r="C49" i="23" s="1"/>
  <c r="B11" i="17"/>
  <c r="C11" i="17" s="1"/>
  <c r="B11" i="23"/>
  <c r="C11" i="23" s="1"/>
  <c r="B6" i="24"/>
  <c r="B6" i="15" s="1"/>
  <c r="B21" i="17"/>
  <c r="C21" i="17" s="1"/>
  <c r="B16" i="24"/>
  <c r="B16" i="15" s="1"/>
  <c r="B21" i="23"/>
  <c r="C21" i="23" s="1"/>
  <c r="B56" i="17"/>
  <c r="C56" i="17" s="1"/>
  <c r="B51" i="24"/>
  <c r="B57" i="23"/>
  <c r="C57" i="23" s="1"/>
  <c r="B25" i="17"/>
  <c r="C25" i="17" s="1"/>
  <c r="B20" i="24"/>
  <c r="B20" i="15" s="1"/>
  <c r="B25" i="23"/>
  <c r="C25" i="23" s="1"/>
  <c r="B32" i="17"/>
  <c r="C32" i="17" s="1"/>
  <c r="B27" i="24"/>
  <c r="B27" i="15" s="1"/>
  <c r="B32" i="23"/>
  <c r="C32" i="23" s="1"/>
  <c r="B42" i="17"/>
  <c r="C42" i="17" s="1"/>
  <c r="B42" i="23"/>
  <c r="C42" i="23" s="1"/>
  <c r="B37" i="24"/>
  <c r="B37" i="15" s="1"/>
  <c r="B46" i="17"/>
  <c r="C46" i="17" s="1"/>
  <c r="B41" i="24"/>
  <c r="B41" i="15" s="1"/>
  <c r="B46" i="23"/>
  <c r="C46" i="23" s="1"/>
  <c r="B64" i="17"/>
  <c r="C64" i="17" s="1"/>
  <c r="B59" i="24"/>
  <c r="B60" i="15" s="1"/>
  <c r="B65" i="23"/>
  <c r="C65" i="23" s="1"/>
  <c r="B14" i="17"/>
  <c r="C14" i="17" s="1"/>
  <c r="B9" i="24"/>
  <c r="B9" i="15" s="1"/>
  <c r="B14" i="23"/>
  <c r="C14" i="23" s="1"/>
  <c r="B26" i="17"/>
  <c r="C26" i="17" s="1"/>
  <c r="B21" i="24"/>
  <c r="B21" i="15" s="1"/>
  <c r="B26" i="23"/>
  <c r="C26" i="23" s="1"/>
  <c r="B40" i="17"/>
  <c r="C40" i="17" s="1"/>
  <c r="B35" i="24"/>
  <c r="B35" i="15" s="1"/>
  <c r="B40" i="23"/>
  <c r="C40" i="23" s="1"/>
  <c r="B12" i="17"/>
  <c r="C12" i="17" s="1"/>
  <c r="B12" i="23"/>
  <c r="C12" i="23" s="1"/>
  <c r="B7" i="24"/>
  <c r="B7" i="15" s="1"/>
  <c r="B39" i="17"/>
  <c r="C39" i="17" s="1"/>
  <c r="B39" i="23"/>
  <c r="C39" i="23" s="1"/>
  <c r="B34" i="24"/>
  <c r="B34" i="15" s="1"/>
  <c r="B18" i="17"/>
  <c r="C18" i="17" s="1"/>
  <c r="B18" i="23"/>
  <c r="C18" i="23" s="1"/>
  <c r="B13" i="24"/>
  <c r="B13" i="15" s="1"/>
  <c r="B17" i="17"/>
  <c r="C17" i="17" s="1"/>
  <c r="B17" i="23"/>
  <c r="C17" i="23" s="1"/>
  <c r="B12" i="24"/>
  <c r="B12" i="15" s="1"/>
  <c r="B43" i="17"/>
  <c r="C43" i="17" s="1"/>
  <c r="B38" i="24"/>
  <c r="B38" i="15" s="1"/>
  <c r="B43" i="23"/>
  <c r="C43" i="23" s="1"/>
  <c r="B59" i="17"/>
  <c r="C59" i="17" s="1"/>
  <c r="B54" i="24"/>
  <c r="B60" i="23"/>
  <c r="C60" i="23" s="1"/>
  <c r="B16" i="17"/>
  <c r="C16" i="17" s="1"/>
  <c r="B11" i="24"/>
  <c r="B11" i="15" s="1"/>
  <c r="B16" i="23"/>
  <c r="C16" i="23" s="1"/>
  <c r="B61" i="17"/>
  <c r="C61" i="17" s="1"/>
  <c r="B62" i="23"/>
  <c r="C62" i="23" s="1"/>
  <c r="B56" i="24"/>
  <c r="B9" i="17"/>
  <c r="C9" i="17" s="1"/>
  <c r="B9" i="23"/>
  <c r="C9" i="23" s="1"/>
  <c r="B4" i="24"/>
  <c r="B4" i="15" s="1"/>
  <c r="B8" i="23"/>
  <c r="C8" i="23" s="1"/>
  <c r="B3" i="24"/>
  <c r="B3" i="15" s="1"/>
  <c r="B36" i="17"/>
  <c r="C36" i="17" s="1"/>
  <c r="B31" i="24"/>
  <c r="B31" i="15" s="1"/>
  <c r="B36" i="23"/>
  <c r="C36" i="23" s="1"/>
  <c r="B60" i="17"/>
  <c r="C60" i="17" s="1"/>
  <c r="B61" i="23"/>
  <c r="C61" i="23" s="1"/>
  <c r="B55" i="24"/>
  <c r="B34" i="17"/>
  <c r="C34" i="17" s="1"/>
  <c r="B34" i="23"/>
  <c r="C34" i="23" s="1"/>
  <c r="B29" i="24"/>
  <c r="B29" i="15" s="1"/>
  <c r="B47" i="17"/>
  <c r="C47" i="17" s="1"/>
  <c r="B42" i="24"/>
  <c r="B42" i="15" s="1"/>
  <c r="B47" i="23"/>
  <c r="C47" i="23" s="1"/>
  <c r="B29" i="17"/>
  <c r="C29" i="17" s="1"/>
  <c r="B29" i="23"/>
  <c r="C29" i="23" s="1"/>
  <c r="B24" i="24"/>
  <c r="B24" i="15" s="1"/>
  <c r="B27" i="17"/>
  <c r="C27" i="17" s="1"/>
  <c r="B22" i="24"/>
  <c r="B22" i="15" s="1"/>
  <c r="B27" i="23"/>
  <c r="C27" i="23" s="1"/>
  <c r="B15" i="17"/>
  <c r="C15" i="17" s="1"/>
  <c r="B15" i="23"/>
  <c r="C15" i="23" s="1"/>
  <c r="B10" i="24"/>
  <c r="B10" i="15" s="1"/>
  <c r="B50" i="17"/>
  <c r="C50" i="17" s="1"/>
  <c r="B50" i="23"/>
  <c r="C50" i="23" s="1"/>
  <c r="B45" i="24"/>
  <c r="B45" i="15" s="1"/>
  <c r="B63" i="17"/>
  <c r="C63" i="17" s="1"/>
  <c r="B64" i="23"/>
  <c r="C64" i="23" s="1"/>
  <c r="B58" i="24"/>
  <c r="B53" i="17"/>
  <c r="C53" i="17" s="1"/>
  <c r="B53" i="23"/>
  <c r="C53" i="23" s="1"/>
  <c r="B48" i="24"/>
  <c r="B48" i="15" s="1"/>
  <c r="B67" i="17"/>
  <c r="C67" i="17" s="1"/>
  <c r="B62" i="24"/>
  <c r="B63" i="15" s="1"/>
  <c r="B68" i="23"/>
  <c r="C68" i="23" s="1"/>
  <c r="B55" i="17"/>
  <c r="C55" i="17" s="1"/>
  <c r="B56" i="23"/>
  <c r="C56" i="23" s="1"/>
  <c r="B50" i="24"/>
  <c r="B50" i="15" s="1"/>
  <c r="B33" i="17"/>
  <c r="C33" i="17" s="1"/>
  <c r="B28" i="24"/>
  <c r="B28" i="15" s="1"/>
  <c r="B33" i="23"/>
  <c r="C33" i="23" s="1"/>
  <c r="O9" i="9"/>
  <c r="O12" i="9" s="1"/>
  <c r="G10" i="9" s="1"/>
  <c r="G9" i="19" s="1"/>
  <c r="U7" i="2"/>
  <c r="E47" i="9" s="1"/>
  <c r="N9" i="9"/>
  <c r="N12" i="9" s="1"/>
  <c r="F10" i="9" s="1"/>
  <c r="H9" i="19" s="1"/>
  <c r="B8" i="17"/>
  <c r="C8" i="17" s="1"/>
  <c r="E48" i="9"/>
  <c r="H8" i="19"/>
  <c r="G8" i="19"/>
  <c r="H7" i="19"/>
  <c r="G7" i="19"/>
  <c r="G7" i="9"/>
  <c r="G6" i="19" s="1"/>
  <c r="F7" i="9"/>
  <c r="H6" i="19" s="1"/>
  <c r="B61" i="15" l="1"/>
  <c r="B56" i="15"/>
  <c r="B52" i="15"/>
  <c r="B59" i="15"/>
  <c r="B55" i="15"/>
  <c r="B54" i="15"/>
  <c r="B58" i="15"/>
  <c r="B57" i="15"/>
  <c r="B62" i="15"/>
  <c r="B51" i="15"/>
  <c r="E49" i="9"/>
  <c r="D9" i="9"/>
  <c r="E8" i="19" s="1"/>
  <c r="E7" i="9"/>
  <c r="F6" i="19" s="1"/>
  <c r="D10" i="9"/>
  <c r="E9" i="19" s="1"/>
  <c r="D8" i="9"/>
  <c r="E7" i="19" s="1"/>
  <c r="D7" i="9"/>
  <c r="E6" i="19" s="1"/>
  <c r="E8" i="9"/>
  <c r="F7" i="19" s="1"/>
  <c r="E10" i="9"/>
  <c r="F9" i="19" s="1"/>
  <c r="E9" i="9"/>
  <c r="F8" i="19" s="1"/>
  <c r="H7" i="9"/>
  <c r="H10" i="9"/>
  <c r="H8" i="9"/>
  <c r="H9" i="9"/>
  <c r="I14" i="19" l="1"/>
  <c r="C51" i="9"/>
  <c r="D14" i="19" s="1"/>
  <c r="I10" i="9"/>
  <c r="D9" i="19" s="1"/>
  <c r="I8" i="9"/>
  <c r="D7" i="19" s="1"/>
  <c r="I9" i="9"/>
  <c r="D8" i="19" s="1"/>
  <c r="I7" i="9"/>
  <c r="D6" i="19" s="1"/>
  <c r="R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4" authorId="0" shapeId="0" xr:uid="{5A5845EF-CCBC-47C4-A118-EC89280FF774}">
      <text>
        <r>
          <rPr>
            <sz val="9"/>
            <color indexed="81"/>
            <rFont val="Tahoma"/>
            <family val="2"/>
          </rPr>
          <t xml:space="preserve">
Kuuluuko kysymys vastaajan laitoksen kokoluokkaan?</t>
        </r>
      </text>
    </comment>
    <comment ref="D4" authorId="0" shapeId="0" xr:uid="{21539197-7B9C-4FC9-A163-CF01AB263E37}">
      <text>
        <r>
          <rPr>
            <sz val="9"/>
            <color indexed="81"/>
            <rFont val="Tahoma"/>
            <family val="2"/>
          </rPr>
          <t xml:space="preserve">
Kuuluuko vastaaja toimialaan 
A (Talousveden valmistus): 
K(yllä) vai E(i)</t>
        </r>
      </text>
    </comment>
    <comment ref="E4" authorId="0" shapeId="0" xr:uid="{C566D0BB-CD36-450C-B9C5-6A55CEA035BD}">
      <text>
        <r>
          <rPr>
            <sz val="9"/>
            <color indexed="81"/>
            <rFont val="Tahoma"/>
            <family val="2"/>
          </rPr>
          <t xml:space="preserve">
Kuuluuko vastaaja toimialaan 
B (Talousveden jakelu): 
K(yllä) vai E(i)</t>
        </r>
      </text>
    </comment>
    <comment ref="F4" authorId="0" shapeId="0" xr:uid="{659DB834-AD75-45F4-B23E-D8065EE12F29}">
      <text>
        <r>
          <rPr>
            <sz val="9"/>
            <color indexed="81"/>
            <rFont val="Tahoma"/>
            <family val="2"/>
          </rPr>
          <t xml:space="preserve">
Kuuluuko vastaaja toimialaan 
C (Jätevesien viemäröinti): 
K(yllä) vai E(i)</t>
        </r>
      </text>
    </comment>
    <comment ref="G4" authorId="0" shapeId="0" xr:uid="{D17A5D17-18C9-4C4C-BC6B-5E52E9A495A5}">
      <text>
        <r>
          <rPr>
            <sz val="9"/>
            <color indexed="81"/>
            <rFont val="Tahoma"/>
            <family val="2"/>
          </rPr>
          <t xml:space="preserve">
Kuuluuko vastaaja toimialaan 
D (Jätevesien käsittely): 
K(yllä) vai E(i)</t>
        </r>
      </text>
    </comment>
    <comment ref="H4" authorId="0" shapeId="0" xr:uid="{FF4B826F-353A-45F9-9D74-AC6388D21D8F}">
      <text>
        <r>
          <rPr>
            <sz val="9"/>
            <color indexed="81"/>
            <rFont val="Tahoma"/>
            <family val="2"/>
          </rPr>
          <t>Tarkastaa kuuluuko kysymys vastaajan valitsemaan 
toimialaan?</t>
        </r>
      </text>
    </comment>
    <comment ref="I4" authorId="0" shapeId="0" xr:uid="{FAE075D5-841C-4E15-B5AE-52F89019C927}">
      <text>
        <r>
          <rPr>
            <sz val="9"/>
            <color indexed="81"/>
            <rFont val="Tahoma"/>
            <family val="2"/>
          </rPr>
          <t xml:space="preserve">
Tarkistaa, kuuluuko kriteeri vastaajan toimialaan JA kokoluokkaan. Jos ei -&gt; tämän avulla voi rajata turhat kriteerit pois näkymästä.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4" authorId="0" shapeId="0" xr:uid="{6941F647-B527-469C-8EDC-71770ED9286A}">
      <text>
        <r>
          <rPr>
            <sz val="9"/>
            <color indexed="81"/>
            <rFont val="Tahoma"/>
            <family val="2"/>
          </rPr>
          <t xml:space="preserve">
Kuuluuko kysymys vastaajan laitoksen kokoluokkaan?</t>
        </r>
      </text>
    </comment>
    <comment ref="D4" authorId="0" shapeId="0" xr:uid="{0353CE32-9662-408F-B03E-8CF3AC0DD64A}">
      <text>
        <r>
          <rPr>
            <sz val="9"/>
            <color indexed="81"/>
            <rFont val="Tahoma"/>
            <family val="2"/>
          </rPr>
          <t xml:space="preserve">
Kuuluuko vastaaja toimialaan 
A (Talousveden valmistus): 
K(yllä) vai E(i)</t>
        </r>
      </text>
    </comment>
    <comment ref="E4" authorId="0" shapeId="0" xr:uid="{C6FDBAB5-B28E-4845-BAC1-F0C00E940530}">
      <text>
        <r>
          <rPr>
            <sz val="9"/>
            <color indexed="81"/>
            <rFont val="Tahoma"/>
            <family val="2"/>
          </rPr>
          <t xml:space="preserve">
Kuuluuko vastaaja toimialaan 
B (Talousveden jakelu): 
K(yllä) vai E(i)</t>
        </r>
      </text>
    </comment>
    <comment ref="F4" authorId="0" shapeId="0" xr:uid="{A984F483-524E-47BF-8A8B-D95645ACAD56}">
      <text>
        <r>
          <rPr>
            <sz val="9"/>
            <color indexed="81"/>
            <rFont val="Tahoma"/>
            <family val="2"/>
          </rPr>
          <t xml:space="preserve">
Kuuluuko vastaaja toimialaan 
C (Jätevesien viemäröinti): 
K(yllä) vai E(i)</t>
        </r>
      </text>
    </comment>
    <comment ref="G4" authorId="0" shapeId="0" xr:uid="{61E757D6-6717-4E3F-8D79-B2383B0B4F81}">
      <text>
        <r>
          <rPr>
            <sz val="9"/>
            <color indexed="81"/>
            <rFont val="Tahoma"/>
            <family val="2"/>
          </rPr>
          <t xml:space="preserve">
Kuuluuko vastaaja toimialaan 
D (Jätevesien käsittely): 
K(yllä) vai E(i)</t>
        </r>
      </text>
    </comment>
    <comment ref="H4" authorId="0" shapeId="0" xr:uid="{5DFE5A91-4741-45A1-AAC6-6984CC37EDBE}">
      <text>
        <r>
          <rPr>
            <sz val="9"/>
            <color indexed="81"/>
            <rFont val="Tahoma"/>
            <family val="2"/>
          </rPr>
          <t>Tarkastaa kuuluuko kysymys vastaajan valitsemaan 
toimialaan?</t>
        </r>
      </text>
    </comment>
    <comment ref="I4" authorId="0" shapeId="0" xr:uid="{1D406279-35FD-4D61-8B34-BF4E60F78178}">
      <text>
        <r>
          <rPr>
            <sz val="9"/>
            <color indexed="81"/>
            <rFont val="Tahoma"/>
            <family val="2"/>
          </rPr>
          <t xml:space="preserve">
Tarkistaa, kuuluuko kriteeri vastaajan toimialaan JA kokoluokkaan. Jos ei -&gt; tämän avulla voi rajata turhat kriteerit pois näkymästä.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4" authorId="0" shapeId="0" xr:uid="{A3A5FC46-6AB7-4EAC-9509-C941A59D1F90}">
      <text>
        <r>
          <rPr>
            <sz val="9"/>
            <color indexed="81"/>
            <rFont val="Tahoma"/>
            <family val="2"/>
          </rPr>
          <t xml:space="preserve">
Kuuluuko kysymys vastaajan laitoksen kokoluokkaan?</t>
        </r>
      </text>
    </comment>
    <comment ref="D4" authorId="0" shapeId="0" xr:uid="{B20C4C21-FBED-44A7-9510-7B4DDE46DDC7}">
      <text>
        <r>
          <rPr>
            <sz val="9"/>
            <color indexed="81"/>
            <rFont val="Tahoma"/>
            <family val="2"/>
          </rPr>
          <t xml:space="preserve">
Kuuluuko vastaaja toimialaan 
A (Talousveden valmistus): 
K(yllä) vai E(i)</t>
        </r>
      </text>
    </comment>
    <comment ref="E4" authorId="0" shapeId="0" xr:uid="{3A78F25E-23DD-42F2-A89C-B7B7746AA066}">
      <text>
        <r>
          <rPr>
            <sz val="9"/>
            <color indexed="81"/>
            <rFont val="Tahoma"/>
            <family val="2"/>
          </rPr>
          <t xml:space="preserve">
Kuuluuko vastaaja toimialaan 
B (Talousveden jakelu): 
K(yllä) vai E(i)</t>
        </r>
      </text>
    </comment>
    <comment ref="F4" authorId="0" shapeId="0" xr:uid="{6CC290A0-B233-433C-9BDD-2399A0F3084E}">
      <text>
        <r>
          <rPr>
            <sz val="9"/>
            <color indexed="81"/>
            <rFont val="Tahoma"/>
            <family val="2"/>
          </rPr>
          <t xml:space="preserve">
Kuuluuko vastaaja toimialaan 
C (Jätevesien viemäröinti): 
K(yllä) vai E(i)</t>
        </r>
      </text>
    </comment>
    <comment ref="G4" authorId="0" shapeId="0" xr:uid="{DA6ED1B4-1CE0-44E5-A0B9-B8A478F9BA44}">
      <text>
        <r>
          <rPr>
            <sz val="9"/>
            <color indexed="81"/>
            <rFont val="Tahoma"/>
            <family val="2"/>
          </rPr>
          <t xml:space="preserve">
Kuuluuko vastaaja toimialaan 
D (Jätevesien käsittely): 
K(yllä) vai E(i)</t>
        </r>
      </text>
    </comment>
    <comment ref="H4" authorId="0" shapeId="0" xr:uid="{24BD4DF4-84F1-4F08-9734-87781510AFC8}">
      <text>
        <r>
          <rPr>
            <sz val="9"/>
            <color indexed="81"/>
            <rFont val="Tahoma"/>
            <family val="2"/>
          </rPr>
          <t>Tarkastaa kuuluuko kysymys vastaajan valitsemaan 
toimialaan?</t>
        </r>
      </text>
    </comment>
    <comment ref="I4" authorId="0" shapeId="0" xr:uid="{EA1C1823-4FE5-4CBE-9B64-7533A1CB995C}">
      <text>
        <r>
          <rPr>
            <sz val="9"/>
            <color indexed="81"/>
            <rFont val="Tahoma"/>
            <family val="2"/>
          </rPr>
          <t xml:space="preserve">
Tarkistaa, kuuluuko kriteeri vastaajan toimialaan JA kokoluokkaan. Jos ei -&gt; tämän avulla voi rajata turhat kriteerit pois näkymästä. </t>
        </r>
      </text>
    </comment>
  </commentList>
</comments>
</file>

<file path=xl/sharedStrings.xml><?xml version="1.0" encoding="utf-8"?>
<sst xmlns="http://schemas.openxmlformats.org/spreadsheetml/2006/main" count="1798" uniqueCount="282">
  <si>
    <t>Luokka</t>
  </si>
  <si>
    <t>Pääkategoria</t>
  </si>
  <si>
    <t>Kategoria</t>
  </si>
  <si>
    <t>Teksti</t>
  </si>
  <si>
    <t>Toimiala</t>
  </si>
  <si>
    <t>Huoltovarmuus</t>
  </si>
  <si>
    <t xml:space="preserve">1,2,3,4 </t>
  </si>
  <si>
    <t>Turvallinen ja toimintavarma</t>
  </si>
  <si>
    <t>1. Laadukas, raakaveden laadun huomioiva, kriteerit täyttävä vedenkäsittelyprosessi</t>
  </si>
  <si>
    <t>1.1 Vesilaitoksella on valmius aloittaa tai järjestää klooridesinfiointi 6 h sisällä talousvesiasetuksen (1352/2015) 20 a pykälän edellyttämällä tavalla.</t>
  </si>
  <si>
    <t>A,B</t>
  </si>
  <si>
    <t>x</t>
  </si>
  <si>
    <t>1,2,3,4</t>
  </si>
  <si>
    <t>1.2 Klooridesinfiointia testataan säännöllisesti.</t>
  </si>
  <si>
    <t>1.3 Laatuvaatimukset täyttävä vedenlaatu (100 % näytteistä)</t>
  </si>
  <si>
    <t>1.4 Laatutavoitteet täyttävä vedenlaatu (100 % näytteistä)</t>
  </si>
  <si>
    <t>1.5 Vesijohtoverkoston paineettomissa putkirikkokorjauksissa rikkoutunut putkilinjaosuus desinfioidaan tai varmistetaan verkoston mikrobiologinen puhtaus tutkimuksin ennen käyttöönottoa.</t>
  </si>
  <si>
    <t>B</t>
  </si>
  <si>
    <t>1.6 Vedenjakeluverkoston näytteenottopisteiden edustavuus valvontatutkimusohjelmassa on säännöllisesti varmistettu alueelliset erityispiirteet ja WSP:n tulokset huomioon ottaen.</t>
  </si>
  <si>
    <t>2,3,4</t>
  </si>
  <si>
    <t>1.7 Talousvesi desinfioidaan jatkuvatoimisesti ennen johtamista vedenjakeluverkostoon tai vesihuoltolaitos on tehnyt riskiarvion, jonka perusteella jatkuvatoimiselle talousveden desinfioinnille ei ole tarvetta</t>
  </si>
  <si>
    <t>A</t>
  </si>
  <si>
    <t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t>
  </si>
  <si>
    <t>1.9 Talousveden käsittelyprosessin kriittisten toimintojen toimivuutta on varmistettu kahdentamalla (esim. laitteet, vaihtoehtoinen käsittelyprosessi/kemikaali/toimittaja)</t>
  </si>
  <si>
    <t>1.10. Vesilaitoksella on käytössä omassa tai ulkopuolisen hallinnassa oleva verkostomalli vedenjakelun varmistamiseen ja kehittämiseen.</t>
  </si>
  <si>
    <t xml:space="preserve">1.11 Talousveden käsittelyprosessin poistoteho on kemiallisen saastumisen tilanteessa arvioitu ja prosessia voidaan tarvittaessa tehostaa. (esim. aktiivihiilen syöttö) </t>
  </si>
  <si>
    <t>2. Ajantasainen varautumis- ja valmiussuunnittelu ja yhteistyö muiden toimijoiden kanssa</t>
  </si>
  <si>
    <t>2.1 Vesihuoltolaitoksella on vähintään vuosittain arvioitava ja tarvittaessa päivitettävä varautumissuunnitelma</t>
  </si>
  <si>
    <t>A,B,C,D</t>
  </si>
  <si>
    <t>2.2 Talousveden laaturiskejä arvioidaan ja riskienhallintaa kehitetään ja sen toimivuutta seurataan systemaattisesti esim. WSP-työkalun avulla</t>
  </si>
  <si>
    <t>2.3 Viemäröinnin ja jätevedenpuhdistuksen ympäristö- ja terveysriskejä arvioidaan ja riskienhallintaa kehitetään systemaattisesti esim. SSP-työkalun avulla</t>
  </si>
  <si>
    <t>C,D</t>
  </si>
  <si>
    <t>2.4 Vesihuoltolaitoksella on tehty häiriötilanneharjoittelu vuoden sisällä yhdessä sidosryhmien kanssa (tai 3 vuoden sisällä jos ei omaa vedentuotantoa)</t>
  </si>
  <si>
    <t>2.5 Vesihuoltopalvelun jatkuvuuden kannalta kriittiset perustoiminnot (esim. veden hankinta, veden käsittely, viemäröinti, jäteveden käsittely jne.) on tunnistettu.</t>
  </si>
  <si>
    <t>2.6 Varavedenottamot, varavesilaitokset ja/tai varavesiyhteydet ovat joko jatkuvassa käytössä tai niiden toimintavalmius varmistetaan (esim. näytteenotoin ja koekäyttämällä) säännöllisesti vähintään vuosittain.</t>
  </si>
  <si>
    <t>2.7 Vesihuoltolaitos hallitsee riskiperusteisesti ja oikeasuhtaisesti ilmastonmuutoksen toiminnalleen aiheuttamia riskejä.</t>
  </si>
  <si>
    <t xml:space="preserve">2.8 Toiminnan kannalta kriittisimmät automaatio- ja ICT-järjestelmät on tunnistettu ja niiden tietoturvaa hallitaan riskiperusteisesti. </t>
  </si>
  <si>
    <t>2.9 Vesihuoltolaitos pitää henkilöstön VAP-varaukset ajan tasalla.</t>
  </si>
  <si>
    <t>2.10 Häiriötilanteisiin varautumisessa tehdään yhteistyötä viranomaisten, kunnan, materiaalitoimittajien, palveluntarjoajien, asiakkaiden ja muiden sidosryhmien kanssa.</t>
  </si>
  <si>
    <t xml:space="preserve">2.11 Varmuusluokitus on vähintään tasolla II (talousvettä on käytettävissä vähintään 50 l/asukas/vrk, jos pääasiallinen raakavesilähde ei ole käytettävissä). </t>
  </si>
  <si>
    <t>3, 4</t>
  </si>
  <si>
    <t xml:space="preserve">2.11 Varmuusluokitus on tasolla I eli talousvettä on käytettävissä &gt; 120 l/asukas/vrk, jos pääasiallinen raakavesilähde ei ole käytettävissä. </t>
  </si>
  <si>
    <t>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t>
  </si>
  <si>
    <t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t>
  </si>
  <si>
    <t>B,C</t>
  </si>
  <si>
    <t xml:space="preserve">2.14 Varavoimakoneiden käyttöönotto ja toimivuus testataan säännöllisesti. </t>
  </si>
  <si>
    <t>2.15 Vesihuoltolaitos on selvittänyt materiaalisia yhteistyötarpeita ja -mahdollisuuksia muiden vesihuoltolaitosten kanssa. Jos yhteisiä tarpeita ja mahdollisuuksia on havaittu, on tehty yhteistyösopimuksia (esim. varavoima, vedenjakelukalusto, kemikaalit, varaosat).</t>
  </si>
  <si>
    <t>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t>
  </si>
  <si>
    <t>2.17 On selvitetty mahdollisuuksia ja tarvetta vesihuoltolaitosten välisiin olennaisiin normaali/poikkeustilanteen verkostoyhteyksiin ja jos tarve on tunnistettu, on tehty sopimukset, rakennettu yhteydet sekä sovittu käytännöistä.</t>
  </si>
  <si>
    <t>2.18 Vesihuoltolaitoksen kohteiden (esim. kiinteistöjen, toimitilojen) riittävästä fyysisestä turvallisuudesta (lukitus, kulunseuranta, aitaus, valvontakamerat tms.)  on huolehdittu asianmukaisesti ottaen huomioon niiden kriittisyys.</t>
  </si>
  <si>
    <t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t>
  </si>
  <si>
    <t xml:space="preserve">2.20 Vesihuoltolaitoksella on häiriötilanteiden hoitoa varten etukäteen sovittu ja harjoiteltu toimintatapa tilannekuvan kokoamiseen ja ylläpitoon. </t>
  </si>
  <si>
    <t>2.21 Vesihuoltolaitoksella on laadittu toiminnan kannalta kriittisten automaatio- ja ICT-järjestelmien häiriötilanteiden varajärjestelyt ja häiriöistä toipuminen on suunniteltu. Tietoturvaa havainnoidaan.</t>
  </si>
  <si>
    <t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t>
  </si>
  <si>
    <t>2.23 Vesihuoltolaitos pitää tarvitsemiensa ajoneuvojen ja työkoneiden ATV-varaukset ajan tasalla. (Välttämättömien ajoneuvojen ja työkoneiden varaaminen poikkeusoloissa vesihuollon käyttöön)</t>
  </si>
  <si>
    <t>2.24 Automaatio- ja ICT-järjestelmien (OT- ja IT- järjestelmät) tietoturvaa on arvioitu hyödyntäen Kybermittaria tai Kyber-Vesi -hankkeen automaation vaatimuspatteristoa.</t>
  </si>
  <si>
    <t>3. Kriittiset asiakkaat, väliaikainen vedenjakelu ja poikkeustilanteiden viestintä</t>
  </si>
  <si>
    <t xml:space="preserve">3.1 Vesihuoltolaitoksen kriittiset asiakkaat on tunnistettu (määritetty ja luokiteltu) ja dokumentoitu (esim. vesihuoltolaitoksen verkkotietojärjestelmään ja varautumisohjeisiin) </t>
  </si>
  <si>
    <t>3.2 Varavedenjakelukaluston saatavuus ja riittävä kapasiteetti on varmistettu tavanomaisissa (pienivaikutteisissa) vedenjakelun häiriötilanteissa omalla kalustolla ja/tai muuten.</t>
  </si>
  <si>
    <t xml:space="preserve">3.3 Vesihuoltolaitoksen varavedenjakelu (esim. jakelupisteet, kalusto, säiliöt, pullot yms.) on suunniteltu myös laajavaikutteisiin vedenjakelutarpeisiin. </t>
  </si>
  <si>
    <t xml:space="preserve">3.4 Varavedenjakelua on harjoiteltu.  (esim. todellisten tilanteiden myötä) </t>
  </si>
  <si>
    <t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t>
  </si>
  <si>
    <t>3.6 Vesihuoltolaitos seuraa parametria yli 12 h vedentoimituskatkokset (kpl/v, liittyjät/vuosi)</t>
  </si>
  <si>
    <t>3.7 Vesihuoltolaitoksella on valmius ilmoittaa keittokehotuksesta tai muista vedenkäyttöön liittyvistä häiriöistä vedenkäyttäjille tar-koituksenmukaisia viestintäkanavia käyttäen tarvittaessa myös kohdennetusti (esim. laputtamalla, tekstiviestillä).</t>
  </si>
  <si>
    <t>3.8 On suunniteltu ja käyttöönotettavissa vaihtoehtoiset tiedon- ja toiminnanhallinnan sekä sisäisen viestinnän menetelmät, mikäli internet ja/tai normaalit tietoliikenneyhteydet eivät toimi.</t>
  </si>
  <si>
    <t>3.9 Putkirikkojen määrä &lt; 4 kpl/100 km/vuosi</t>
  </si>
  <si>
    <t>3.9 Putkirikkojen määrä &lt; 2 kpl/100 km/vuosi</t>
  </si>
  <si>
    <t>3.10 Laskuttamattoman talousveden osuus &lt; 15 % (1-4)</t>
  </si>
  <si>
    <t>3.11 Erilaisten häiriötilanteiden viestintä on suunniteltu, ohjeistettu ja sitä harjoitellaan. Yhteystiedot pidetään ajan tasalla.</t>
  </si>
  <si>
    <t>3.12 Kriittisten asiakkaiden kanssa on käyty neuvottelu vedensaannin turvaamisesta ja tarpeellisten toimenpiteiden määrittely on tehty esim. erillisellä sopimuksella tai kriittisiä asiakkaita ei ole.</t>
  </si>
  <si>
    <t>4. Kemikaalit, varaosat ja kriittiset palvelut</t>
  </si>
  <si>
    <t xml:space="preserve">4.1 Vesihuoltolaitoksen kriittiset materiaalit (kemikaalit, varaosat, yms) on tunnistettu. </t>
  </si>
  <si>
    <t>4.2 Kriittisten materiaalien riittävä varastokapasiteetti ja saatavuus on määritetty ja järjestetty.</t>
  </si>
  <si>
    <t xml:space="preserve">4.3 Toimittajien kanssa on neuvoteltu jatkuvuudenhallinnasta. </t>
  </si>
  <si>
    <t xml:space="preserve">4.4 Kriittisten materiaalien saanti on otettu huomioon sopimuksissa (esim. SOPIVA-sopimuslausekkeet). </t>
  </si>
  <si>
    <t>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t>
  </si>
  <si>
    <t>4.6 Vesihuoltolaitoksen kriittiset palvelut (perustoiminnan ylläpitämisen edellyttämät jatkuvat palvelut, esim. logistiikka) on tunnistettu.</t>
  </si>
  <si>
    <t>4.7 Vesihuoltolaitoksen kriittisten palveluiden riittävä saatavuus on määritetty ja varmistettu.</t>
  </si>
  <si>
    <t>4.8 Palvelutarjoajien kanssa on neuvoteltu jatkuvuudenhallinnasta. (esim. VAP-varaukset)</t>
  </si>
  <si>
    <t>4.9 Kriittisten palvelujen saanti on otettu huomioon sopimuksissa (esim. SOPIVA-sopimuslausekkeet).</t>
  </si>
  <si>
    <t>Kustannustehokas ja organisoitu</t>
  </si>
  <si>
    <t>5. Laitoksella on riittävät henkilöstöresurssit ja ammattitaitoinen henkilökunta, ja varallaolo on suunniteltu</t>
  </si>
  <si>
    <t>5.1 Henkilöstöllä on mahdollisuus kouluttautua ja työnantaja järjestää koulutusta havaitun tarpeen mukaan säännöllisesti.</t>
  </si>
  <si>
    <t>5.2 Vesihuoltolaitoksella on varallaolojärjestelmä, joka turvaa laitoksen operatiivisen toiminnan 24/7. Työajan ulkopuolisen ajan johtamisjärjestelyt on sovittu ja ohjeistettu. Hälytysyhteystieto on olemassa.</t>
  </si>
  <si>
    <t>5.3 Henkilökunta pystyy huolehtimaan kaikista operatiiviseen toimintaan liittyvistä kriittisistä toiminnoista itsenäisesti. TAI Vesihuoltolaitoksella on palvelusopimukset kriittisten toimintojen osalta.</t>
  </si>
  <si>
    <t xml:space="preserve">5.4 Henkilöstölle on laadittu laitoksen omat osaamistasovaatimukset. Osaamistasomäärityksessä voidaan hyödyntää esim. Vesihuoltolaitosten osaamiskriteerit -hankkeen osaamiskartoitustyökalua. </t>
  </si>
  <si>
    <t>5.5 Avainhenkilöt eli perustoiminnon ylläpitämisessä kriittiset henkilöt on tunnistettu ja nimetty. Avainhenkilöille on nimetty varahenkilöt, jotka on perehdytetty työnkuvaan.</t>
  </si>
  <si>
    <t>5.6 Vesihuoltolaitoksella on henkilökuntaa riittävästi, jotta omat tai ostopalvelut pystytään hoitamaan ennalta laaditun aikataulun mukaisesti (materiaalit, suunnittelu, rakentaminen, kunnossapito) ja hankkeita ei tarvitse viivyttää henkilöresurssien takia.</t>
  </si>
  <si>
    <t>6. Omaisuuden hallinta, operointi ja kunnossapito on suunnitelmallista</t>
  </si>
  <si>
    <t>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t>
  </si>
  <si>
    <t>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t>
  </si>
  <si>
    <t>6.2 Vesihuoltolaitoksen laitosten ja verkostojen automaatiojärjestelmistä kerätään luotettavaa tietoa sähköiseen muotoon.</t>
  </si>
  <si>
    <t>6.2 Vesihuoltolaitoksen laitoksen ja verkostojen automaatiojärjestelmistä saadaan ja kerätään jatkuvaa, ajantasaista ja luotettavaa tietoa sähköiseen muotoon.</t>
  </si>
  <si>
    <t>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t>
  </si>
  <si>
    <t>6.4 Vesihuoltolaitos on määrittänyt toiminnalleen KPI-mittarit (key performance indicator), joita seurataan.</t>
  </si>
  <si>
    <t>6.5 Vesihuoltolaitoksen laitoksista ja verkostoista kerätään järjestelmällisesti tietoa suunnittelun, rakentamisen, saneerauksen ja kunnossapidon osalta.</t>
  </si>
  <si>
    <t>6.6 Vesihuoltolaitos käyttää sähköistä kunnossapitojärjestelmää.</t>
  </si>
  <si>
    <t xml:space="preserve">6.7 Vesihuoltolaitoksen vedenjakeluverkoston vuotoja mitataan ja seurataan ja vuotavuusprosentti on määritelty verkostoalueittain. </t>
  </si>
  <si>
    <t>6.8 Vesihuoltolaitoksella on pitkän aikavälin omaisuudenhallintasuunnitelma (10 v).</t>
  </si>
  <si>
    <t>6.9 Vesihuoltolaitoksella on käytössä auditoitu omaisuudenhallinnan johtamisjärjestelmä (esim. ISO 55000).</t>
  </si>
  <si>
    <t>6.10 Vesihuoltolaitoksen laitosten ja verkoston automaatiojärjestelmistä saadaan jatkuvaa, ajantasaista ja virheetöntä tietoa räätälöidysti raportoituna organisaation eri tasoille. Tietoa hyödynnetään päätöksenteossa.</t>
  </si>
  <si>
    <t>7. Johtaminen on suunniteltua ja toiminta on kannattavaa</t>
  </si>
  <si>
    <t>7.1 Vesihuoltolaitoksella on selkeä kulut ja tuotot erittelevä taloushallintajärjestelmä tai vastaava pienille laitoksille soveltuva järjestelmä luokan 1 laitoksille.</t>
  </si>
  <si>
    <t>7.2 Vesihuoltolaitoksella on ajantasainen pitkän aikavälin (min. 10 v) investointiohjelma, jossa on otettu huomioon vesihuollon ja kunnan tarpeet, huomioitu vesihuollon kehittämissuunnitelma sekä toimintavarmuus.</t>
  </si>
  <si>
    <t>7.3 Vesihuoltolaitoksen perimät maksut ovat sellaiset, että pitkällä aikavälillä (10 v.) voidaan kattaa vesihuoltolaitoksen suunnitellut uus- ja korjausinvestoinnit ja käyttökustannukset.</t>
  </si>
  <si>
    <t>7.4 Vesihuoltolaitoksella on laadunhallintajärjestelmä tai toiminta on muuten järjestelmällistä ja kirjallisesti/sähköisesti dokumentoitua.</t>
  </si>
  <si>
    <t>7.5 Vesihuoltolaitoksen tietojen hallinta on suunniteltua ja järjestelmällistä (esim. tiedonhallintasuunnitelma ja järjestelmä) eli varmistetaan tietojen turvallinen luokittelu, käsittely ja säilytys.</t>
  </si>
  <si>
    <t>7.6 Vesihuoltolaitoksen toiminnasta kerätään järjestelmällisesti tietoa operatiivisen toiminnan (=päivittäisen toiminnan johtamisen) osalta.</t>
  </si>
  <si>
    <t>7.6 Vesihuoltolaitoksen operatiivisesta toiminnasta kerätään järjestelmällisesti oleellista tietoa, jota hyödynnetään johtamisessa</t>
  </si>
  <si>
    <t>7.7 Vesihuoltolaitoksella on käytössä operatiivisen toiminnan johtamisjärjestelmä (sisältää esim. vastuunjaon ja tehtäväkuvaukset) ja jatkuvan parantamisen toimintatapa.</t>
  </si>
  <si>
    <t>7.8 Vesihuoltolaitos on kartoittanut tarpeen erisuuruisille perus- ja liittymismaksuille eri alueilla ja ottanut ne käyttöön niiden soveltuessa.</t>
  </si>
  <si>
    <t>7.9 Vesihuoltolaitoksen henkilöstöllä ja johdolla on tulostavoitteet ja tulosmittarit tai muu määritelty ja mitattava ajuri, jota seurataan ja hyödynnetään toiminnan kehittämisessä.</t>
  </si>
  <si>
    <t>7.10 Vesihuoltolaitoksella on käytössä auditoidut ISO 9001-laatujärjestelmä sekä ISO 14001 -ympäristöjärjestelmä tai muu vastaava järjestelmä.</t>
  </si>
  <si>
    <t>7.11 Vesihuoltolaitoksella on käytössä auditoitu ISO 45001 työterveys- ja turvallisuusjärjestelmä tai muu vastaava.</t>
  </si>
  <si>
    <t>8. Käyttötalouden hallinta ja hankinnat ovat suunniteltuja, tehostettuja ja läpinäkyviä.</t>
  </si>
  <si>
    <t>8.1 Vesihuoltolaitoksen hyödykkeiden kulutusta seurataan. Hyödykkeellä tarkoitetaan vesilaitoksen toiminnassaan käyttämiä aineita, tarvikkeita tai palveluita, kuten esim. kemikaaleja, sähköä, rakentamispalvelua tms.</t>
  </si>
  <si>
    <t xml:space="preserve">8.2 Vesihuoltolaitoksen kustannuksia seurataan ja käyttötaloutta tehostetaan aktiivisesti. </t>
  </si>
  <si>
    <t xml:space="preserve">8.3 Vesihuoltolaitoksella tai kunnalla on vesihuoltolaitosta koskevat hankintaohjeet. Hankinnoissa otetaan tarkoituksenmukaisesti huomioon laatu- ja hintakriteerit. </t>
  </si>
  <si>
    <t>8.4 Vesihuoltolaitoksen henkilöstö on saanut koulutusta hankintojen ja palvelujen kilpailutukseen ja sopimuksiin sekä palvelujen ja toimitusten valvontaan.</t>
  </si>
  <si>
    <t xml:space="preserve">8.5 Vesihuoltolaitoksella on puitesopimukset keskeisten tavaroiden ja palveluiden hankinnan osalta. </t>
  </si>
  <si>
    <t>8.6 Vesihuoltolaitos kerää ja käyttää tunnuslukutietoa systemaattisesti ja vertailee toimintaansa kokoluokan ja lähialueen muihin vastaaviin toimijoihin.</t>
  </si>
  <si>
    <t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t>
  </si>
  <si>
    <t>8.8 Vesihuoltolaitoksen hankintakriteereihin sisältyvät sosiaalinen ja ympäristövastuullisuus</t>
  </si>
  <si>
    <t>Kestävä ja kehittyvä</t>
  </si>
  <si>
    <t>9. Jätevesien käsittelyn ja johtamisen ympäristökuormitus minimoidaan</t>
  </si>
  <si>
    <t>9.1 Jätevesiverkoston vuotovesiprosentti &lt; 30 %</t>
  </si>
  <si>
    <t>C</t>
  </si>
  <si>
    <t>9.2 Viemäritukosten määrä &lt; 5 kpl/100 km/v</t>
  </si>
  <si>
    <t>9.3 Laitosohitusten määrä jätevedestä &lt; 0,5 %</t>
  </si>
  <si>
    <t>D</t>
  </si>
  <si>
    <t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t>
  </si>
  <si>
    <t xml:space="preserve">9.5 Vesihuoltolaitoksen sekaviemäröinnin vähentämisestä on tehty suunnitelma ja sitä vähennetään vuosittain </t>
  </si>
  <si>
    <t xml:space="preserve">9.6 Vesihuoltolaitoksen viemäriverkoston vuotoja mitataan ja seurataan ja vuotavuusprosentti on määritelty soveltuvin osin pumppaamo- ja verkostoalueittain.  </t>
  </si>
  <si>
    <t>9.7 Vesihuoltolaitos on laatinut vuotovesien hallintasuunnitelman ja vuosittaisen investointisuunnitelman vuotovesien vähentämiseksi ja sitä toteutetaan.</t>
  </si>
  <si>
    <t>9.8 Vesihuoltolaitos on liittynyt vesiensuojelusopimukseen (Green Deal), tavoitteena vapaaehtoisesti vähentää kuormitusta alle lupaehtojen.</t>
  </si>
  <si>
    <t>10. Kestävä ja energiatehokas</t>
  </si>
  <si>
    <t xml:space="preserve">10.1 Vesihuoltolaitoksen energiankulutusta seurataan ja siihen kiinnitetään huomiota </t>
  </si>
  <si>
    <t>10.1 Vesihuoltolaitoksen energiankulutusta mitataan ja seura-taan vesihuoltolaitoksella osa-alueittain (esim. pumppaukset tai muut merkittävimmät energiankulutuskohteet).</t>
  </si>
  <si>
    <t>10.2 Vesihuoltolaitos tekee systemaattista riskinarviointia ja riskienhallintaa työturvallisuuden osalta sisältäen mm. kemiallisten ja biologisten vaarojen arvioinnin.</t>
  </si>
  <si>
    <t xml:space="preserve">10.3 Vesihuoltolaitoksen toiminta-alueen asukkaille on kohdistettu neuvontaa luvattomien viemäriliitosten poistamiseksi (esimerkiksi huleveden ja/tai perustusten kuivatusveden johtaminen jätevesiviemäriin ilman lupaa). </t>
  </si>
  <si>
    <t>10.4 Taloudelliset ohjauskeinot luvattomien viemäriliitosten poistamiseksi ovat aidosti käytössä eli korotettuja maksuja peritään tarvittaessa.</t>
  </si>
  <si>
    <t>10.5 Vesihuoltolaitos laatii ja julkaisee ympäristötilinpäätöksen vuosittain.</t>
  </si>
  <si>
    <t>10.6 Vesihuoltolaitoksen hiilijalanjälki on laskettu ja tuloksia käytetään toiminnan ohjauksessa.</t>
  </si>
  <si>
    <t>10.7 Vesihuoltolaitoksen energiankulutus on analysoitu, toimenpideohjelma energiatehokkuuden parantamiseksi laadittu ja sitä toteutetaan.</t>
  </si>
  <si>
    <t xml:space="preserve">10.8 Jätevedenpuhdistamolla hyödynnetään hukkalämpöä. </t>
  </si>
  <si>
    <t>10.9 Vesilaitoksen toiminnassa on järjestelmällisesti otettu huomioon ympäristö-, talous- ja sosiaalinen vastuu.</t>
  </si>
  <si>
    <t>10.10 Vesihuoltolaitoksen energiantuottopotentiaali on kartoitettu ja laitoksella on tavoitearvo energiaomavaraisuudelle.</t>
  </si>
  <si>
    <t xml:space="preserve">10.12 Hiilineutraalisuudelle on asetettu tavoite ja toimenpidesuunnitelma sen saavuttamiseksi </t>
  </si>
  <si>
    <t>11. Asiakaspalvelu ja viestintä on suunniteltua ja läpinäkyvää</t>
  </si>
  <si>
    <t>11.1 Säännöllinen asiakasviestintä esim. www-sivuilla, laskun/mittarilukemakortin yhteydessä tai asiakaslehdellä</t>
  </si>
  <si>
    <t>11.2 Toimintakertomus ja tilinpäätös julkaistaan vuosittain</t>
  </si>
  <si>
    <t>11.3 Asiakaspalaute kirjataan ylös</t>
  </si>
  <si>
    <t>11.4 Asiakastietojärjestelmä mahdollistaa sähköiset asiakaspalvelut</t>
  </si>
  <si>
    <t>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t>
  </si>
  <si>
    <t>11.6 Laitos tekee asiakastyytyväisyyskyselyn 2-4 vuoden välein.</t>
  </si>
  <si>
    <t>11.6 Laitos tekee asiakastyytyväisyyskyselyn 1-2 vuoden välein</t>
  </si>
  <si>
    <t>11.6 Laitos tekee asiakastyytyväisyyskyselyn vuosittain.</t>
  </si>
  <si>
    <t>11.7 Asiakasvalituksiin vastaamiseen on asetettu tavoiteaika.</t>
  </si>
  <si>
    <t>11.8 Käytössä liittyjäkohtainen kuluttajaviestintä (esim. tekstiviesti-ilmoitus)</t>
  </si>
  <si>
    <t>11.9 Sijaintitiedon kannalta oleelliset asiakasvalitukset hallinnoidaan paikkatietona. (esim. johtotietojärjestelmä, kunnossapitojärjestelmä)</t>
  </si>
  <si>
    <t>11.10 Asiakastyytyväisyyden tulos tasolla vähintään hyvä.</t>
  </si>
  <si>
    <t>11.11 Asiakaspalvelua kehitetään asiakastyytyväisyyskyselyjen lisäksi yhteistyössä asiakkaiden kanssa. (esim. säännöllinen asiakasfoorumi, isännöitsijätapaamiset)</t>
  </si>
  <si>
    <t>11.12 Asiakaspalvelulle on määritelty palvelutaso normaalitoiminnassa ja häiriötilanteissa.</t>
  </si>
  <si>
    <t>11.13 Asiakastyytyväisyyden jatkuva seuranta aina asiakaskohtaamisen yhteydessä</t>
  </si>
  <si>
    <t>11.14 Asiakkaille tarjotaan kohderyhmittäin räätälöityjä lisäpalveluja kulutustietojen, asioinnin yms. suhteen, esim. etäluenta, ladattava äppi tms.</t>
  </si>
  <si>
    <t>Kokoluokka</t>
  </si>
  <si>
    <t>Luokka 4, n. yli 30 000 asukasta</t>
  </si>
  <si>
    <t>Luokka 3, n. 5 000–30 000 asukasta</t>
  </si>
  <si>
    <t>Luokka 2, n. 500–5 000 asukasta</t>
  </si>
  <si>
    <t>Luokka 1, n. alle 500 asukasta</t>
  </si>
  <si>
    <t>Talousveden valmistus</t>
  </si>
  <si>
    <t>Talousveden jakelu</t>
  </si>
  <si>
    <t>Jätevesien viemäröinti</t>
  </si>
  <si>
    <t>Jätevesien käsittely</t>
  </si>
  <si>
    <t>Vastaus</t>
  </si>
  <si>
    <t>Kysymyksen 
Toimiala</t>
  </si>
  <si>
    <t>Kysymyk-sen 
Luokka</t>
  </si>
  <si>
    <t>Kyllä</t>
  </si>
  <si>
    <t>Ei</t>
  </si>
  <si>
    <t>Ei koske</t>
  </si>
  <si>
    <t>Vastausvaihtoehdot</t>
  </si>
  <si>
    <t>Lähtötietojen vastaukset</t>
  </si>
  <si>
    <t>= asiakkaan valitsema kokoluokka</t>
  </si>
  <si>
    <t>Luokka + toimiala</t>
  </si>
  <si>
    <t>Maksimipisteet</t>
  </si>
  <si>
    <t>Pisteet</t>
  </si>
  <si>
    <t>Pisteet % maksimista</t>
  </si>
  <si>
    <t>Maksimi-pisteet</t>
  </si>
  <si>
    <t>Erinomainen</t>
  </si>
  <si>
    <t>Kaikki oman luokan kriteerikohtaiset kysymykset täytetty.*</t>
  </si>
  <si>
    <t>Hyvä</t>
  </si>
  <si>
    <t xml:space="preserve">80 % - 99 % </t>
  </si>
  <si>
    <t>Korjattavaa</t>
  </si>
  <si>
    <t xml:space="preserve">50 % - 79,9 % </t>
  </si>
  <si>
    <t>Huono</t>
  </si>
  <si>
    <t>30 – 49,9%</t>
  </si>
  <si>
    <t>Erittäin Huono</t>
  </si>
  <si>
    <t xml:space="preserve">Alle 30 % </t>
  </si>
  <si>
    <t>Kriteeri täyttyy</t>
  </si>
  <si>
    <t>Kriteeri</t>
  </si>
  <si>
    <t>Tulos</t>
  </si>
  <si>
    <t>Pisteet (kriteeri täyttyy)</t>
  </si>
  <si>
    <t xml:space="preserve">Vastauspäivämäärä: </t>
  </si>
  <si>
    <t xml:space="preserve">Vesilaitos: </t>
  </si>
  <si>
    <t xml:space="preserve">Vastaajan nimi: </t>
  </si>
  <si>
    <t>HV</t>
  </si>
  <si>
    <t>*</t>
  </si>
  <si>
    <t>Kunta:</t>
  </si>
  <si>
    <t>Talousveden valmistus (A)</t>
  </si>
  <si>
    <t>Talousveden jakelu (B)</t>
  </si>
  <si>
    <t xml:space="preserve">Jätevesien viemäröinti (C) </t>
  </si>
  <si>
    <t>Jätevesien käsittely (D)</t>
  </si>
  <si>
    <t xml:space="preserve">Näytetään käyttäjälle Lähtötiedot-välilehdelle: </t>
  </si>
  <si>
    <t xml:space="preserve">Tarkistus: </t>
  </si>
  <si>
    <t xml:space="preserve">Kokoluokka-valinta Lähtötiedot-välilehdeltä: </t>
  </si>
  <si>
    <t xml:space="preserve">Toimiala-valinta Lähtötiedot-välilehdeltä: </t>
  </si>
  <si>
    <t xml:space="preserve">Lisätietoja toiminnasta: </t>
  </si>
  <si>
    <t xml:space="preserve">valinnut kahta kokoluokkaa. </t>
  </si>
  <si>
    <t>Hyvän vesihuollon kriteerit</t>
  </si>
  <si>
    <t xml:space="preserve">Tarkistaa, ettei käyttäjä ole </t>
  </si>
  <si>
    <t>Vastaajan tiedot</t>
  </si>
  <si>
    <t xml:space="preserve">Vastaajan tiedot </t>
  </si>
  <si>
    <t/>
  </si>
  <si>
    <t>Toimiala-
kysymys</t>
  </si>
  <si>
    <t>Extra-
kriteeri</t>
  </si>
  <si>
    <t>Huolto-varmuus</t>
  </si>
  <si>
    <t>Ala-
kategorianNro</t>
  </si>
  <si>
    <t>Otsikkorivi</t>
  </si>
  <si>
    <t>Alakategoria_</t>
  </si>
  <si>
    <t>Alakategoria</t>
  </si>
  <si>
    <t>Arviointikriteeri</t>
  </si>
  <si>
    <t xml:space="preserve">Vastaus </t>
  </si>
  <si>
    <t>Kunta</t>
  </si>
  <si>
    <t>Vesilaitoksen nimi</t>
  </si>
  <si>
    <t>Vastaajan kokoluokka</t>
  </si>
  <si>
    <t>Vastaajan toimiala</t>
  </si>
  <si>
    <t>Vastauspvm</t>
  </si>
  <si>
    <t>Extra-kysymys</t>
  </si>
  <si>
    <t>Kriteerin toimiala</t>
  </si>
  <si>
    <t>Kriteerin kokoluokka</t>
  </si>
  <si>
    <t>Kuuluuko kriteeri kyseisen laitoksen vastattavaksi</t>
  </si>
  <si>
    <t>_Otsikkorivi</t>
  </si>
  <si>
    <t>Huoltovarmuuskriteeri</t>
  </si>
  <si>
    <t>Onko korjattavaa?</t>
  </si>
  <si>
    <t xml:space="preserve">Huom! Jos muutat alkuperäistä vastaustasi, tieto ei välttämättä päivity tälle listalle ennen kuin painat suodattimen oikeassa yläkulmassa olevaa suodatuksen poisto -kuvaketta ja teet suodatuksen uudestaan. </t>
  </si>
  <si>
    <t>Vastausvaihtoehdot kriteerilistauksessa</t>
  </si>
  <si>
    <t>Tulokset</t>
  </si>
  <si>
    <t xml:space="preserve">Kuinka moneen kysymykseen jo vastattu: </t>
  </si>
  <si>
    <t xml:space="preserve">Kuinka moneen kysymykseen pitäisi vastata: </t>
  </si>
  <si>
    <t xml:space="preserve">Vastaamisen edistymisprosentti: </t>
  </si>
  <si>
    <t>Onko vastattu</t>
  </si>
  <si>
    <t xml:space="preserve">Vastaamisprosentit näkyviin Kriteerikysymys-sivuille: </t>
  </si>
  <si>
    <t>Toimiala A</t>
  </si>
  <si>
    <t>Toimiala B</t>
  </si>
  <si>
    <t>Toimiala C</t>
  </si>
  <si>
    <t>Toimiala D</t>
  </si>
  <si>
    <t>Piilotettu tekninen sivu: Tulosten lasku</t>
  </si>
  <si>
    <t>oman luokan kriteerikohtaisista kysymyksistä täyttyy.*</t>
  </si>
  <si>
    <r>
      <t xml:space="preserve">Tämä taulukko </t>
    </r>
    <r>
      <rPr>
        <b/>
        <sz val="11"/>
        <color theme="1"/>
        <rFont val="Aptos Narrow"/>
        <family val="2"/>
        <scheme val="minor"/>
      </rPr>
      <t xml:space="preserve">näyttää oletusarvoisesti kaikki </t>
    </r>
    <r>
      <rPr>
        <sz val="11"/>
        <color theme="1"/>
        <rFont val="Aptos Narrow"/>
        <family val="2"/>
        <scheme val="minor"/>
      </rPr>
      <t>kriteerit ja otsikkorivit.</t>
    </r>
  </si>
  <si>
    <t>SeliteOsittajaan</t>
  </si>
  <si>
    <t xml:space="preserve">Vastaamistilanne: </t>
  </si>
  <si>
    <t xml:space="preserve">Aputaulukko huoltovarmuuspisteiden laskemiseen kaikilta kolmelta kysymysvälilehdeltä: </t>
  </si>
  <si>
    <t>yht</t>
  </si>
  <si>
    <t>TT</t>
  </si>
  <si>
    <t>KO</t>
  </si>
  <si>
    <t>KK</t>
  </si>
  <si>
    <t>Tekniset piilosarakkeet A-C</t>
  </si>
  <si>
    <r>
      <t>Saat näkyviin korjattavat rivit käyttämällä oikealla näkyvää "Onko korjattavaa?"-suodatinta:</t>
    </r>
    <r>
      <rPr>
        <b/>
        <sz val="11"/>
        <color rgb="FFFF0000"/>
        <rFont val="Aptos Narrow"/>
        <family val="2"/>
        <scheme val="minor"/>
      </rPr>
      <t xml:space="preserve"> valitse suodattimesta "Kyllä" ja näet vain ne kriteerit, joissa on korjattavaa</t>
    </r>
    <r>
      <rPr>
        <b/>
        <sz val="11"/>
        <color theme="1"/>
        <rFont val="Aptos Narrow"/>
        <family val="2"/>
        <scheme val="minor"/>
      </rPr>
      <t xml:space="preserve"> </t>
    </r>
    <r>
      <rPr>
        <sz val="11"/>
        <color theme="1"/>
        <rFont val="Aptos Narrow"/>
        <family val="2"/>
        <scheme val="minor"/>
      </rPr>
      <t>(=kriteerit, joihin on vastattu "Ei").</t>
    </r>
  </si>
  <si>
    <t>2,3,5</t>
  </si>
  <si>
    <t>2,3,6</t>
  </si>
  <si>
    <t>2,3,7</t>
  </si>
  <si>
    <t xml:space="preserve">Toimiala täytyy olla X, jos sitä ei ole valittu. Muutoin kysymykset sisältävien välilehtien etsintäfunktio menee rikki. </t>
  </si>
  <si>
    <t>Ohje</t>
  </si>
  <si>
    <t>Teknisiä piilosarakkeita</t>
  </si>
  <si>
    <t>Pikaohje</t>
  </si>
  <si>
    <t>(Pidempi ohje löytyy "Ohje"-välilehdeltä.)</t>
  </si>
  <si>
    <t>Tekniset (piilo)sarakkeet A-C</t>
  </si>
  <si>
    <t>2.11 Vesihuoltolaitoksen pääasiallinen varmuusluokka on B (Talousvettä käytettävissä ≥ 60 % normaalista kulutuksesta, mikäli vedenjakelualueen pääasiallista vesilähdettä ei voida käyttää).</t>
  </si>
  <si>
    <t>2.11 Vesihuoltolaitoksen pääasiallinen varmuusluokka on A (Talousvettä käytettävissä ≥ 90 % normaalista kulutuksesta, mikäli vedenjakelualueen pääasiallista vesilähdettä ei voida käyttää).</t>
  </si>
  <si>
    <t>7.3 Vesihuoltolaitoksen perimät maksut ovat sellaiset, että pitkällä aikavälillä (20 v.) voidaan kattaa vesihuoltolaitoksen suunnitellut uus- ja korjausinvestoinnit ja käyttökustannukset.</t>
  </si>
  <si>
    <t>7.2 Vesihuoltolaitoksella on ajantasainen pitkän aikavälin (min. 20 v) investointiohjelma, jossa on otettu huomioon vesihuollon ja kunnan tarpeet, huomioitu vesihuollon kehittämissuunnitelma sekä toimintavarmuus.</t>
  </si>
  <si>
    <t>6.8 Vesihuoltolaitoksella on pitkän aikavälin omaisuudenhallintasuunnitelma (20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</si>
</sst>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14"/>
      <color theme="1"/>
      <name val="Aptos Narrow"/>
      <family val="2"/>
      <scheme val="minor"/>
    </font>
    <font>
      <sz val="8"/>
      <name val="Aptos Narrow"/>
      <family val="2"/>
      <scheme val="minor"/>
    </font>
    <font>
      <sz val="9"/>
      <color indexed="81"/>
      <name val="Tahoma"/>
      <family val="2"/>
    </font>
    <font>
      <sz val="11"/>
      <color theme="1"/>
      <name val="Calibri"/>
      <family val="2"/>
    </font>
    <font>
      <b/>
      <sz val="20"/>
      <color theme="1"/>
      <name val="Aptos Narrow"/>
      <family val="2"/>
      <scheme val="minor"/>
    </font>
    <font>
      <sz val="15"/>
      <color theme="1"/>
      <name val="Aptos Narrow"/>
      <family val="2"/>
      <scheme val="minor"/>
    </font>
    <font>
      <sz val="20"/>
      <color theme="1"/>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sz val="11"/>
      <color theme="0"/>
      <name val="Aptos Narrow"/>
      <family val="2"/>
      <scheme val="minor"/>
    </font>
    <font>
      <b/>
      <sz val="12"/>
      <color rgb="FFFF0000"/>
      <name val="Aptos Narrow"/>
      <family val="2"/>
      <scheme val="minor"/>
    </font>
    <font>
      <b/>
      <sz val="14"/>
      <name val="Aptos Narrow"/>
      <family val="2"/>
      <scheme val="minor"/>
    </font>
    <font>
      <b/>
      <sz val="16"/>
      <color theme="1"/>
      <name val="Aptos Narrow"/>
      <family val="2"/>
      <scheme val="minor"/>
    </font>
    <font>
      <b/>
      <sz val="20"/>
      <color rgb="FF13374B"/>
      <name val="Aptos Narrow"/>
      <family val="2"/>
      <scheme val="minor"/>
    </font>
    <font>
      <sz val="22"/>
      <color theme="6" tint="0.39997558519241921"/>
      <name val="Aptos Narrow"/>
      <family val="2"/>
      <scheme val="minor"/>
    </font>
    <font>
      <b/>
      <sz val="22"/>
      <color theme="6" tint="0.39997558519241921"/>
      <name val="Aptos Narrow"/>
      <family val="2"/>
      <scheme val="minor"/>
    </font>
    <font>
      <b/>
      <sz val="11"/>
      <color theme="1"/>
      <name val="Calibri"/>
      <family val="2"/>
    </font>
    <font>
      <sz val="12"/>
      <name val="Aptos Narrow"/>
      <family val="2"/>
      <scheme val="minor"/>
    </font>
    <font>
      <b/>
      <sz val="18"/>
      <color rgb="FF13374B"/>
      <name val="Aptos Narrow"/>
      <family val="2"/>
      <scheme val="minor"/>
    </font>
    <font>
      <i/>
      <sz val="11"/>
      <color theme="1"/>
      <name val="Aptos Narrow"/>
      <family val="2"/>
      <scheme val="minor"/>
    </font>
    <font>
      <b/>
      <sz val="12"/>
      <name val="Aptos Narrow"/>
      <family val="2"/>
      <scheme val="minor"/>
    </font>
    <font>
      <b/>
      <sz val="11"/>
      <color rgb="FFFF0000"/>
      <name val="Aptos Narrow"/>
      <family val="2"/>
      <scheme val="minor"/>
    </font>
    <font>
      <i/>
      <sz val="12"/>
      <color theme="1"/>
      <name val="Aptos Narrow"/>
      <family val="2"/>
      <scheme val="minor"/>
    </font>
    <font>
      <b/>
      <i/>
      <sz val="16"/>
      <color rgb="FF008ADE"/>
      <name val="Arial"/>
      <family val="2"/>
    </font>
    <font>
      <sz val="10"/>
      <color theme="1"/>
      <name val="Aptos Narrow"/>
      <family val="2"/>
      <scheme val="minor"/>
    </font>
    <font>
      <u/>
      <sz val="11"/>
      <color theme="10"/>
      <name val="Aptos Narrow"/>
      <family val="2"/>
      <scheme val="minor"/>
    </font>
    <font>
      <b/>
      <u/>
      <sz val="11"/>
      <color theme="1"/>
      <name val="Aptos Narrow"/>
      <family val="2"/>
      <scheme val="minor"/>
    </font>
    <font>
      <b/>
      <sz val="11"/>
      <color rgb="FF000000"/>
      <name val="Aptos Narrow"/>
      <family val="2"/>
      <scheme val="minor"/>
    </font>
    <font>
      <b/>
      <sz val="16"/>
      <color rgb="FF000000"/>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D0EF67"/>
        <bgColor indexed="64"/>
      </patternFill>
    </fill>
    <fill>
      <patternFill patternType="solid">
        <fgColor rgb="FF96E1FF"/>
        <bgColor indexed="64"/>
      </patternFill>
    </fill>
    <fill>
      <patternFill patternType="solid">
        <fgColor theme="9" tint="0.39997558519241921"/>
        <bgColor indexed="64"/>
      </patternFill>
    </fill>
    <fill>
      <patternFill patternType="solid">
        <fgColor theme="9" tint="0.39994506668294322"/>
        <bgColor indexed="64"/>
      </patternFill>
    </fill>
    <fill>
      <patternFill patternType="solid">
        <fgColor rgb="FF88C6FF"/>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3" tint="0.89999084444715716"/>
        <bgColor indexed="64"/>
      </patternFill>
    </fill>
    <fill>
      <patternFill patternType="solid">
        <fgColor rgb="FF92D050"/>
        <bgColor indexed="64"/>
      </patternFill>
    </fill>
    <fill>
      <patternFill patternType="solid">
        <fgColor theme="8" tint="0.39997558519241921"/>
        <bgColor indexed="64"/>
      </patternFill>
    </fill>
  </fills>
  <borders count="34">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thin">
        <color theme="1"/>
      </bottom>
      <diagonal/>
    </border>
    <border>
      <left style="hair">
        <color theme="0" tint="-0.24994659260841701"/>
      </left>
      <right/>
      <top style="hair">
        <color theme="0" tint="-0.24994659260841701"/>
      </top>
      <bottom/>
      <diagonal/>
    </border>
    <border>
      <left/>
      <right/>
      <top style="hair">
        <color theme="0" tint="-0.24994659260841701"/>
      </top>
      <bottom/>
      <diagonal/>
    </border>
    <border>
      <left/>
      <right style="hair">
        <color theme="0" tint="-0.24994659260841701"/>
      </right>
      <top style="hair">
        <color theme="0" tint="-0.24994659260841701"/>
      </top>
      <bottom/>
      <diagonal/>
    </border>
    <border>
      <left style="hair">
        <color theme="0" tint="-0.24994659260841701"/>
      </left>
      <right/>
      <top/>
      <bottom/>
      <diagonal/>
    </border>
    <border>
      <left/>
      <right style="hair">
        <color theme="0" tint="-0.24994659260841701"/>
      </right>
      <top/>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s>
  <cellStyleXfs count="3">
    <xf numFmtId="0" fontId="0" fillId="0" borderId="0"/>
    <xf numFmtId="9" fontId="11" fillId="0" borderId="0" applyFont="0" applyFill="0" applyBorder="0" applyAlignment="0" applyProtection="0"/>
    <xf numFmtId="0" fontId="30" fillId="0" borderId="0" applyNumberFormat="0" applyFill="0" applyBorder="0" applyAlignment="0" applyProtection="0"/>
  </cellStyleXfs>
  <cellXfs count="182">
    <xf numFmtId="0" fontId="0" fillId="0" borderId="0" xfId="0"/>
    <xf numFmtId="0" fontId="0" fillId="0" borderId="0" xfId="0" applyAlignment="1">
      <alignment vertical="top"/>
    </xf>
    <xf numFmtId="0" fontId="0" fillId="0" borderId="0" xfId="0" applyAlignment="1">
      <alignment horizontal="left" vertical="top" wrapText="1"/>
    </xf>
    <xf numFmtId="0" fontId="3" fillId="0" borderId="0" xfId="0" applyFont="1" applyAlignment="1">
      <alignment horizontal="left" vertical="top"/>
    </xf>
    <xf numFmtId="0" fontId="2" fillId="2" borderId="0" xfId="0" applyFont="1" applyFill="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0" fontId="3" fillId="2" borderId="0" xfId="0" applyFont="1" applyFill="1" applyAlignment="1">
      <alignment horizontal="left" vertical="top"/>
    </xf>
    <xf numFmtId="0" fontId="0" fillId="0" borderId="0" xfId="0" applyAlignment="1">
      <alignment vertical="top" wrapText="1"/>
    </xf>
    <xf numFmtId="0" fontId="3" fillId="0" borderId="0" xfId="0" applyFont="1" applyAlignment="1">
      <alignment horizontal="left" vertical="top" wrapText="1"/>
    </xf>
    <xf numFmtId="0" fontId="1" fillId="0" borderId="0" xfId="0" applyFont="1"/>
    <xf numFmtId="0" fontId="0" fillId="0" borderId="0" xfId="0" applyAlignment="1">
      <alignment horizontal="center"/>
    </xf>
    <xf numFmtId="0" fontId="0" fillId="0" borderId="0" xfId="0" applyAlignment="1">
      <alignment horizontal="center" vertical="top" wrapText="1"/>
    </xf>
    <xf numFmtId="0" fontId="8" fillId="0" borderId="0" xfId="0" applyFont="1"/>
    <xf numFmtId="0" fontId="0" fillId="0" borderId="0" xfId="0" quotePrefix="1"/>
    <xf numFmtId="0" fontId="1" fillId="3" borderId="0" xfId="0" applyFont="1" applyFill="1" applyAlignment="1">
      <alignment horizont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top"/>
    </xf>
    <xf numFmtId="0" fontId="0" fillId="5" borderId="2" xfId="0" applyFill="1" applyBorder="1"/>
    <xf numFmtId="0" fontId="0" fillId="5" borderId="3" xfId="0" applyFill="1" applyBorder="1"/>
    <xf numFmtId="0" fontId="0" fillId="5" borderId="4" xfId="0" applyFill="1" applyBorder="1"/>
    <xf numFmtId="0" fontId="0" fillId="5" borderId="12" xfId="0" applyFill="1" applyBorder="1"/>
    <xf numFmtId="0" fontId="1" fillId="5" borderId="0" xfId="0" applyFont="1" applyFill="1" applyAlignment="1">
      <alignment horizontal="center" wrapText="1"/>
    </xf>
    <xf numFmtId="0" fontId="0" fillId="5" borderId="13" xfId="0" applyFill="1" applyBorder="1"/>
    <xf numFmtId="0" fontId="0" fillId="5" borderId="0" xfId="0" applyFill="1"/>
    <xf numFmtId="9" fontId="0" fillId="5" borderId="0" xfId="1" applyFont="1" applyFill="1" applyBorder="1" applyAlignment="1">
      <alignment horizontal="center"/>
    </xf>
    <xf numFmtId="0" fontId="0" fillId="5" borderId="0" xfId="0" applyFill="1" applyAlignment="1">
      <alignment horizontal="center"/>
    </xf>
    <xf numFmtId="1" fontId="0" fillId="5" borderId="0" xfId="1" applyNumberFormat="1" applyFont="1" applyFill="1" applyBorder="1" applyAlignment="1">
      <alignment horizontal="center"/>
    </xf>
    <xf numFmtId="0" fontId="0" fillId="5" borderId="5" xfId="0" applyFill="1" applyBorder="1"/>
    <xf numFmtId="0" fontId="0" fillId="5" borderId="6" xfId="0" applyFill="1" applyBorder="1"/>
    <xf numFmtId="0" fontId="0" fillId="5" borderId="7" xfId="0" applyFill="1" applyBorder="1"/>
    <xf numFmtId="0" fontId="4" fillId="5" borderId="0" xfId="0" applyFont="1" applyFill="1"/>
    <xf numFmtId="0" fontId="13" fillId="5" borderId="0" xfId="0" applyFont="1" applyFill="1"/>
    <xf numFmtId="9" fontId="13" fillId="5" borderId="0" xfId="1" applyFont="1" applyFill="1" applyBorder="1" applyAlignment="1">
      <alignment horizontal="center"/>
    </xf>
    <xf numFmtId="0" fontId="13" fillId="5" borderId="0" xfId="0" applyFont="1" applyFill="1" applyAlignment="1">
      <alignment horizontal="center"/>
    </xf>
    <xf numFmtId="1" fontId="13" fillId="5" borderId="0" xfId="1" applyNumberFormat="1" applyFont="1" applyFill="1" applyBorder="1" applyAlignment="1">
      <alignment horizontal="center"/>
    </xf>
    <xf numFmtId="0" fontId="12" fillId="5" borderId="8" xfId="0" applyFont="1" applyFill="1" applyBorder="1" applyAlignment="1">
      <alignment horizontal="center" vertical="center"/>
    </xf>
    <xf numFmtId="0" fontId="12" fillId="5" borderId="0" xfId="0" applyFont="1" applyFill="1" applyAlignment="1">
      <alignment horizontal="center" wrapText="1"/>
    </xf>
    <xf numFmtId="0" fontId="1" fillId="7" borderId="0" xfId="0" applyFont="1" applyFill="1"/>
    <xf numFmtId="0" fontId="0" fillId="7" borderId="0" xfId="0" applyFill="1"/>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1" fillId="8" borderId="1" xfId="0" applyFont="1" applyFill="1" applyBorder="1" applyAlignment="1">
      <alignment horizontal="center" vertical="center"/>
    </xf>
    <xf numFmtId="0" fontId="14" fillId="7" borderId="0" xfId="0" applyFont="1" applyFill="1"/>
    <xf numFmtId="0" fontId="1" fillId="3" borderId="0" xfId="0" applyFont="1" applyFill="1"/>
    <xf numFmtId="0" fontId="1" fillId="7" borderId="0" xfId="0" applyFont="1" applyFill="1" applyAlignment="1">
      <alignment vertical="center"/>
    </xf>
    <xf numFmtId="0" fontId="0" fillId="7" borderId="0" xfId="0" applyFill="1" applyAlignment="1">
      <alignment vertical="center"/>
    </xf>
    <xf numFmtId="0" fontId="16" fillId="10" borderId="0" xfId="0" applyFont="1" applyFill="1"/>
    <xf numFmtId="0" fontId="14" fillId="10" borderId="0" xfId="0" applyFont="1" applyFill="1"/>
    <xf numFmtId="14" fontId="10" fillId="7" borderId="0" xfId="0" applyNumberFormat="1" applyFont="1" applyFill="1" applyAlignment="1">
      <alignment vertical="center"/>
    </xf>
    <xf numFmtId="0" fontId="4" fillId="10" borderId="0" xfId="0" applyFont="1" applyFill="1"/>
    <xf numFmtId="0" fontId="0" fillId="10" borderId="0" xfId="0" applyFill="1"/>
    <xf numFmtId="0" fontId="0" fillId="4" borderId="0" xfId="0" applyFill="1"/>
    <xf numFmtId="0" fontId="4" fillId="4" borderId="0" xfId="0" applyFont="1" applyFill="1"/>
    <xf numFmtId="0" fontId="18" fillId="4" borderId="0" xfId="0" applyFont="1" applyFill="1"/>
    <xf numFmtId="0" fontId="0" fillId="0" borderId="0" xfId="1" applyNumberFormat="1" applyFont="1" applyAlignment="1">
      <alignment horizontal="left" vertical="top"/>
    </xf>
    <xf numFmtId="0" fontId="17" fillId="0" borderId="0" xfId="0" applyFont="1" applyAlignment="1">
      <alignment horizontal="left"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3" fillId="4" borderId="20"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0" borderId="0" xfId="0" applyFont="1" applyAlignment="1">
      <alignment vertical="top"/>
    </xf>
    <xf numFmtId="0" fontId="20" fillId="4" borderId="23" xfId="0" applyFont="1" applyFill="1" applyBorder="1" applyAlignment="1">
      <alignment horizontal="center" vertical="center"/>
    </xf>
    <xf numFmtId="0" fontId="15" fillId="4" borderId="23" xfId="0" applyFont="1" applyFill="1" applyBorder="1" applyAlignment="1">
      <alignment horizontal="center" vertical="center"/>
    </xf>
    <xf numFmtId="0" fontId="19" fillId="4" borderId="24" xfId="0" applyFont="1" applyFill="1" applyBorder="1" applyAlignment="1">
      <alignment horizontal="center" vertical="center"/>
    </xf>
    <xf numFmtId="0" fontId="15" fillId="4" borderId="24" xfId="0" applyFont="1" applyFill="1" applyBorder="1" applyAlignment="1">
      <alignment horizontal="center" vertical="center"/>
    </xf>
    <xf numFmtId="0" fontId="19" fillId="4" borderId="23" xfId="0" applyFont="1" applyFill="1" applyBorder="1" applyAlignment="1">
      <alignment horizontal="center" vertical="center"/>
    </xf>
    <xf numFmtId="0" fontId="3" fillId="11" borderId="0" xfId="0" applyFont="1" applyFill="1" applyAlignment="1">
      <alignment horizontal="left" vertical="center" wrapText="1"/>
    </xf>
    <xf numFmtId="0" fontId="3" fillId="11" borderId="0" xfId="0" applyFont="1" applyFill="1" applyAlignment="1">
      <alignment horizontal="center" vertical="top" wrapText="1"/>
    </xf>
    <xf numFmtId="14" fontId="0" fillId="0" borderId="0" xfId="0" applyNumberFormat="1"/>
    <xf numFmtId="0" fontId="0" fillId="0" borderId="0" xfId="0" applyAlignment="1">
      <alignment horizontal="left"/>
    </xf>
    <xf numFmtId="0" fontId="0" fillId="12" borderId="0" xfId="0" applyFill="1"/>
    <xf numFmtId="0" fontId="1" fillId="0" borderId="25" xfId="0" applyFont="1" applyBorder="1" applyAlignment="1">
      <alignment vertical="top"/>
    </xf>
    <xf numFmtId="0" fontId="1" fillId="0" borderId="25" xfId="0" applyFont="1" applyBorder="1" applyAlignment="1">
      <alignment vertical="top" wrapText="1"/>
    </xf>
    <xf numFmtId="0" fontId="0" fillId="4" borderId="0" xfId="0" applyFill="1" applyAlignment="1">
      <alignment vertical="top"/>
    </xf>
    <xf numFmtId="0" fontId="23" fillId="4" borderId="0" xfId="0" applyFont="1" applyFill="1" applyAlignment="1">
      <alignment vertical="top"/>
    </xf>
    <xf numFmtId="0" fontId="0" fillId="4" borderId="0" xfId="0" applyFill="1" applyAlignment="1">
      <alignment vertical="top" wrapText="1"/>
    </xf>
    <xf numFmtId="0" fontId="1" fillId="4" borderId="0" xfId="0" applyFont="1" applyFill="1" applyAlignment="1">
      <alignment vertical="top"/>
    </xf>
    <xf numFmtId="0" fontId="12" fillId="4" borderId="8" xfId="0" applyFont="1" applyFill="1" applyBorder="1" applyAlignment="1">
      <alignment horizontal="center" vertical="center"/>
    </xf>
    <xf numFmtId="9" fontId="0" fillId="4" borderId="8" xfId="0" applyNumberFormat="1" applyFill="1" applyBorder="1" applyAlignment="1">
      <alignment horizontal="center" vertical="center"/>
    </xf>
    <xf numFmtId="0" fontId="0" fillId="4" borderId="8" xfId="0" applyFill="1" applyBorder="1" applyAlignment="1">
      <alignment horizontal="left" vertical="center"/>
    </xf>
    <xf numFmtId="0" fontId="0" fillId="4" borderId="8" xfId="0" applyFill="1" applyBorder="1" applyAlignment="1">
      <alignment horizontal="center" vertical="center"/>
    </xf>
    <xf numFmtId="0" fontId="0" fillId="4" borderId="8" xfId="0" applyFill="1" applyBorder="1"/>
    <xf numFmtId="0" fontId="1" fillId="4" borderId="8" xfId="0"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12" xfId="0" applyFill="1" applyBorder="1"/>
    <xf numFmtId="0" fontId="4" fillId="2" borderId="0" xfId="0" applyFont="1" applyFill="1"/>
    <xf numFmtId="0" fontId="1" fillId="2" borderId="0" xfId="0" applyFont="1" applyFill="1" applyAlignment="1">
      <alignment horizontal="center" wrapText="1"/>
    </xf>
    <xf numFmtId="0" fontId="12" fillId="2" borderId="0" xfId="0" applyFont="1" applyFill="1" applyAlignment="1">
      <alignment horizontal="center" wrapText="1"/>
    </xf>
    <xf numFmtId="0" fontId="0" fillId="2" borderId="13" xfId="0" applyFill="1" applyBorder="1"/>
    <xf numFmtId="0" fontId="13" fillId="2" borderId="0" xfId="0" applyFont="1" applyFill="1"/>
    <xf numFmtId="9" fontId="13" fillId="2" borderId="0" xfId="1" applyFont="1" applyFill="1" applyBorder="1" applyAlignment="1">
      <alignment horizontal="center"/>
    </xf>
    <xf numFmtId="0" fontId="13" fillId="2" borderId="0" xfId="0" applyFont="1" applyFill="1" applyAlignment="1">
      <alignment horizontal="center"/>
    </xf>
    <xf numFmtId="0" fontId="12" fillId="2" borderId="8" xfId="0" applyFont="1" applyFill="1" applyBorder="1" applyAlignment="1">
      <alignment horizontal="center" vertical="center"/>
    </xf>
    <xf numFmtId="0" fontId="0" fillId="2" borderId="0" xfId="0" applyFill="1"/>
    <xf numFmtId="9" fontId="0" fillId="2" borderId="0" xfId="1" applyFont="1" applyFill="1" applyBorder="1" applyAlignment="1">
      <alignment horizontal="center"/>
    </xf>
    <xf numFmtId="0" fontId="0" fillId="2" borderId="0" xfId="0" applyFill="1" applyAlignment="1">
      <alignment horizontal="center"/>
    </xf>
    <xf numFmtId="1" fontId="0" fillId="2" borderId="0" xfId="1" applyNumberFormat="1" applyFont="1" applyFill="1" applyBorder="1" applyAlignment="1">
      <alignment horizontal="center"/>
    </xf>
    <xf numFmtId="0" fontId="0" fillId="2" borderId="5" xfId="0" applyFill="1" applyBorder="1"/>
    <xf numFmtId="0" fontId="0" fillId="2" borderId="6" xfId="0" applyFill="1" applyBorder="1"/>
    <xf numFmtId="0" fontId="0" fillId="2" borderId="7" xfId="0" applyFill="1" applyBorder="1"/>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0" fontId="3" fillId="0" borderId="22" xfId="0" applyFont="1" applyBorder="1" applyAlignment="1">
      <alignment horizontal="center" vertical="center"/>
    </xf>
    <xf numFmtId="0" fontId="3" fillId="0" borderId="21" xfId="0" applyFont="1" applyBorder="1" applyAlignment="1">
      <alignment horizontal="left"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3" fillId="11" borderId="0" xfId="0" applyFont="1" applyFill="1" applyAlignment="1">
      <alignment horizontal="left" vertical="top" wrapText="1"/>
    </xf>
    <xf numFmtId="0" fontId="1" fillId="11" borderId="0" xfId="0" applyFont="1" applyFill="1" applyAlignment="1">
      <alignment horizontal="center" vertical="top" wrapText="1"/>
    </xf>
    <xf numFmtId="0" fontId="0" fillId="0" borderId="0" xfId="1" applyNumberFormat="1" applyFont="1"/>
    <xf numFmtId="0" fontId="0" fillId="4" borderId="0" xfId="0" applyFill="1" applyAlignment="1">
      <alignment horizontal="center" vertical="top" wrapText="1"/>
    </xf>
    <xf numFmtId="0" fontId="0" fillId="4" borderId="0" xfId="0" applyFill="1" applyAlignment="1">
      <alignment horizontal="left" vertical="center" wrapText="1"/>
    </xf>
    <xf numFmtId="0" fontId="0" fillId="4" borderId="0" xfId="0" applyFill="1" applyAlignment="1">
      <alignment horizontal="center" vertical="center"/>
    </xf>
    <xf numFmtId="0" fontId="21" fillId="0" borderId="21" xfId="0" applyFont="1" applyBorder="1" applyAlignment="1">
      <alignment horizontal="center" vertical="top" wrapText="1"/>
    </xf>
    <xf numFmtId="0" fontId="7" fillId="0" borderId="20" xfId="0" applyFont="1" applyBorder="1" applyAlignment="1">
      <alignment horizontal="center" vertical="top"/>
    </xf>
    <xf numFmtId="0" fontId="7" fillId="0" borderId="21" xfId="0" applyFont="1" applyBorder="1" applyAlignment="1">
      <alignment horizontal="center" vertical="top"/>
    </xf>
    <xf numFmtId="0" fontId="7" fillId="0" borderId="22" xfId="0" applyFont="1" applyBorder="1" applyAlignment="1">
      <alignment horizontal="center" vertical="top"/>
    </xf>
    <xf numFmtId="0" fontId="22" fillId="0" borderId="0" xfId="0" applyFont="1" applyAlignment="1">
      <alignment horizontal="left" vertical="top" wrapText="1"/>
    </xf>
    <xf numFmtId="0" fontId="3" fillId="0" borderId="0" xfId="0" applyFont="1" applyAlignment="1">
      <alignment vertical="top" wrapText="1"/>
    </xf>
    <xf numFmtId="0" fontId="8" fillId="12" borderId="0" xfId="0" applyFont="1" applyFill="1"/>
    <xf numFmtId="0" fontId="25" fillId="13" borderId="21" xfId="0" applyFont="1" applyFill="1" applyBorder="1" applyAlignment="1">
      <alignment horizontal="left" vertical="center"/>
    </xf>
    <xf numFmtId="0" fontId="0" fillId="4" borderId="0" xfId="0" applyFill="1" applyAlignment="1">
      <alignment horizontal="left" vertical="top"/>
    </xf>
    <xf numFmtId="0" fontId="3" fillId="4" borderId="0" xfId="0" applyFont="1" applyFill="1" applyAlignment="1">
      <alignment horizontal="left" vertical="top" wrapText="1"/>
    </xf>
    <xf numFmtId="0" fontId="0" fillId="4" borderId="0" xfId="0" applyFill="1" applyAlignment="1">
      <alignment horizontal="left" vertical="top" wrapText="1"/>
    </xf>
    <xf numFmtId="0" fontId="25" fillId="10" borderId="0" xfId="0" applyFont="1" applyFill="1" applyAlignment="1">
      <alignment horizontal="center" vertical="center" wrapText="1"/>
    </xf>
    <xf numFmtId="0" fontId="25" fillId="10" borderId="0" xfId="0" applyFont="1" applyFill="1" applyAlignment="1">
      <alignment horizontal="center" vertical="center"/>
    </xf>
    <xf numFmtId="0" fontId="2" fillId="10" borderId="0" xfId="0" applyFont="1" applyFill="1" applyAlignment="1">
      <alignment horizontal="center" vertical="center" wrapText="1"/>
    </xf>
    <xf numFmtId="0" fontId="3" fillId="11" borderId="0" xfId="0" applyFont="1" applyFill="1" applyAlignment="1">
      <alignment horizontal="center" vertical="center" wrapText="1"/>
    </xf>
    <xf numFmtId="0" fontId="0" fillId="6" borderId="0" xfId="0" applyFill="1" applyAlignment="1">
      <alignment vertical="top"/>
    </xf>
    <xf numFmtId="0" fontId="0" fillId="6" borderId="0" xfId="0" applyFill="1"/>
    <xf numFmtId="0" fontId="24" fillId="4" borderId="0" xfId="0" applyFont="1" applyFill="1" applyAlignment="1">
      <alignment vertical="top"/>
    </xf>
    <xf numFmtId="0" fontId="28" fillId="4" borderId="0" xfId="0" applyFont="1" applyFill="1"/>
    <xf numFmtId="0" fontId="0" fillId="4" borderId="0" xfId="1" applyNumberFormat="1" applyFont="1" applyFill="1" applyAlignment="1">
      <alignment horizontal="left" vertical="top"/>
    </xf>
    <xf numFmtId="0" fontId="17" fillId="4" borderId="0" xfId="0" applyFont="1" applyFill="1" applyAlignment="1">
      <alignment horizontal="left" vertical="top"/>
    </xf>
    <xf numFmtId="0" fontId="12" fillId="4" borderId="0" xfId="0" applyFont="1" applyFill="1" applyAlignment="1">
      <alignment horizontal="left" vertical="top"/>
    </xf>
    <xf numFmtId="0" fontId="27" fillId="4" borderId="0" xfId="0" applyFont="1" applyFill="1" applyAlignment="1">
      <alignment horizontal="right"/>
    </xf>
    <xf numFmtId="0" fontId="24" fillId="4" borderId="0" xfId="0" applyFont="1" applyFill="1"/>
    <xf numFmtId="0" fontId="1" fillId="4" borderId="0" xfId="0" applyFont="1" applyFill="1"/>
    <xf numFmtId="0" fontId="29" fillId="4" borderId="0" xfId="0" applyFont="1" applyFill="1"/>
    <xf numFmtId="0" fontId="13" fillId="0" borderId="0" xfId="0" applyFont="1"/>
    <xf numFmtId="0" fontId="0" fillId="4" borderId="27" xfId="0" applyFill="1" applyBorder="1"/>
    <xf numFmtId="0" fontId="0" fillId="4" borderId="28" xfId="0" applyFill="1" applyBorder="1"/>
    <xf numFmtId="0" fontId="0" fillId="4" borderId="29" xfId="0" applyFill="1" applyBorder="1"/>
    <xf numFmtId="0" fontId="0" fillId="4" borderId="30" xfId="0" applyFill="1" applyBorder="1"/>
    <xf numFmtId="0" fontId="0" fillId="4" borderId="31" xfId="0" applyFill="1" applyBorder="1"/>
    <xf numFmtId="0" fontId="29" fillId="4" borderId="32" xfId="0" applyFont="1" applyFill="1" applyBorder="1"/>
    <xf numFmtId="0" fontId="0" fillId="4" borderId="32" xfId="0" applyFill="1" applyBorder="1"/>
    <xf numFmtId="0" fontId="0" fillId="4" borderId="33" xfId="0" applyFill="1" applyBorder="1"/>
    <xf numFmtId="0" fontId="0" fillId="4" borderId="26" xfId="0" applyFill="1" applyBorder="1"/>
    <xf numFmtId="0" fontId="29" fillId="4" borderId="27" xfId="0" applyFont="1" applyFill="1" applyBorder="1"/>
    <xf numFmtId="0" fontId="7" fillId="13" borderId="21" xfId="0" applyFont="1" applyFill="1" applyBorder="1" applyAlignment="1" applyProtection="1">
      <alignment horizontal="center" vertical="center"/>
      <protection locked="0"/>
    </xf>
    <xf numFmtId="0" fontId="7" fillId="6" borderId="23" xfId="0" applyFont="1" applyFill="1" applyBorder="1" applyAlignment="1" applyProtection="1">
      <alignment horizontal="center" vertical="center"/>
      <protection locked="0"/>
    </xf>
    <xf numFmtId="0" fontId="31" fillId="14" borderId="0" xfId="2" applyFont="1" applyFill="1" applyAlignment="1">
      <alignment horizontal="center" vertical="center"/>
    </xf>
    <xf numFmtId="0" fontId="9" fillId="7" borderId="0" xfId="0" applyFont="1" applyFill="1" applyAlignment="1" applyProtection="1">
      <alignment horizontal="center" vertical="center"/>
      <protection locked="0"/>
    </xf>
    <xf numFmtId="0" fontId="1" fillId="0" borderId="25" xfId="0" applyFont="1" applyBorder="1" applyAlignment="1" applyProtection="1">
      <alignment vertical="top"/>
      <protection locked="0"/>
    </xf>
    <xf numFmtId="0" fontId="0" fillId="0" borderId="0" xfId="0" applyAlignment="1" applyProtection="1">
      <alignment vertical="top"/>
      <protection locked="0"/>
    </xf>
    <xf numFmtId="0" fontId="2" fillId="3" borderId="0" xfId="0" applyFont="1" applyFill="1" applyAlignment="1">
      <alignment horizontal="left" vertical="center"/>
    </xf>
    <xf numFmtId="0" fontId="32" fillId="0" borderId="0" xfId="0" applyFont="1" applyAlignment="1">
      <alignment vertical="center" readingOrder="1"/>
    </xf>
    <xf numFmtId="0" fontId="33" fillId="2" borderId="0" xfId="0" applyFont="1" applyFill="1" applyAlignment="1">
      <alignment vertical="center" readingOrder="1"/>
    </xf>
    <xf numFmtId="0" fontId="30" fillId="2" borderId="0" xfId="2" applyFill="1" applyAlignment="1">
      <alignment vertical="center" readingOrder="1"/>
    </xf>
    <xf numFmtId="0" fontId="3" fillId="15" borderId="0" xfId="0" applyFont="1" applyFill="1" applyAlignment="1">
      <alignment horizontal="left" vertical="center" wrapText="1"/>
    </xf>
    <xf numFmtId="0" fontId="0" fillId="3" borderId="0" xfId="0" applyFill="1" applyAlignment="1">
      <alignment horizontal="left" vertical="top"/>
    </xf>
    <xf numFmtId="0" fontId="3" fillId="3" borderId="0" xfId="0" applyFont="1" applyFill="1" applyAlignment="1">
      <alignment horizontal="left" vertical="top" wrapText="1"/>
    </xf>
    <xf numFmtId="0" fontId="0" fillId="3" borderId="0" xfId="0" applyFill="1" applyAlignment="1">
      <alignment horizontal="center" vertical="top" wrapText="1"/>
    </xf>
    <xf numFmtId="0" fontId="0" fillId="3" borderId="0" xfId="0" applyFill="1" applyAlignment="1">
      <alignment horizontal="left" vertical="center" wrapText="1"/>
    </xf>
    <xf numFmtId="0" fontId="0" fillId="4" borderId="9"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16" fillId="6" borderId="0" xfId="0" applyFont="1" applyFill="1" applyAlignment="1">
      <alignment horizontal="left" vertical="center"/>
    </xf>
    <xf numFmtId="14" fontId="0" fillId="4" borderId="9" xfId="0" applyNumberFormat="1" applyFill="1" applyBorder="1" applyAlignment="1" applyProtection="1">
      <alignment horizontal="left" vertical="center"/>
      <protection locked="0"/>
    </xf>
    <xf numFmtId="0" fontId="1" fillId="9" borderId="17" xfId="0" applyFont="1" applyFill="1" applyBorder="1" applyAlignment="1">
      <alignment horizontal="left"/>
    </xf>
    <xf numFmtId="0" fontId="1" fillId="9" borderId="18" xfId="0" applyFont="1" applyFill="1" applyBorder="1" applyAlignment="1">
      <alignment horizontal="left"/>
    </xf>
    <xf numFmtId="0" fontId="1" fillId="9" borderId="19" xfId="0" applyFont="1" applyFill="1" applyBorder="1" applyAlignment="1">
      <alignment horizontal="left"/>
    </xf>
    <xf numFmtId="0" fontId="2" fillId="3" borderId="0" xfId="0" applyFont="1" applyFill="1" applyAlignment="1">
      <alignment horizontal="left" vertical="top"/>
    </xf>
  </cellXfs>
  <cellStyles count="3">
    <cellStyle name="Hyperlinkki" xfId="2" builtinId="8"/>
    <cellStyle name="Normaali" xfId="0" builtinId="0"/>
    <cellStyle name="Prosenttia" xfId="1" builtinId="5"/>
  </cellStyles>
  <dxfs count="224">
    <dxf>
      <fill>
        <patternFill>
          <bgColor theme="9"/>
        </patternFill>
      </fill>
    </dxf>
    <dxf>
      <fill>
        <patternFill>
          <bgColor theme="9" tint="0.39994506668294322"/>
        </patternFill>
      </fill>
    </dxf>
    <dxf>
      <fill>
        <patternFill>
          <bgColor rgb="FFEAEA1E"/>
        </patternFill>
      </fill>
    </dxf>
    <dxf>
      <fill>
        <patternFill>
          <bgColor rgb="FFE5A63F"/>
        </patternFill>
      </fill>
    </dxf>
    <dxf>
      <fill>
        <patternFill>
          <bgColor rgb="FFFF0000"/>
        </patternFill>
      </fill>
    </dxf>
    <dxf>
      <font>
        <b/>
        <i val="0"/>
        <color rgb="FFFF0000"/>
      </font>
    </dxf>
    <dxf>
      <font>
        <color theme="6"/>
      </font>
    </dxf>
    <dxf>
      <fill>
        <patternFill>
          <bgColor theme="9"/>
        </patternFill>
      </fill>
    </dxf>
    <dxf>
      <fill>
        <patternFill>
          <bgColor theme="9" tint="0.39994506668294322"/>
        </patternFill>
      </fill>
    </dxf>
    <dxf>
      <fill>
        <patternFill>
          <bgColor rgb="FFEAEA1E"/>
        </patternFill>
      </fill>
    </dxf>
    <dxf>
      <fill>
        <patternFill>
          <bgColor rgb="FFE5A63F"/>
        </patternFill>
      </fill>
    </dxf>
    <dxf>
      <fill>
        <patternFill>
          <bgColor rgb="FFFF0000"/>
        </patternFill>
      </fill>
    </dxf>
    <dxf>
      <fill>
        <patternFill>
          <bgColor theme="9"/>
        </patternFill>
      </fill>
    </dxf>
    <dxf>
      <fill>
        <patternFill>
          <bgColor theme="9" tint="0.39994506668294322"/>
        </patternFill>
      </fill>
    </dxf>
    <dxf>
      <fill>
        <patternFill>
          <bgColor rgb="FFEAEA1E"/>
        </patternFill>
      </fill>
    </dxf>
    <dxf>
      <fill>
        <patternFill>
          <bgColor rgb="FFE5A63F"/>
        </patternFill>
      </fill>
    </dxf>
    <dxf>
      <fill>
        <patternFill>
          <bgColor rgb="FFFF0000"/>
        </patternFill>
      </fill>
    </dxf>
    <dxf>
      <fill>
        <patternFill>
          <bgColor theme="0" tint="-0.14996795556505021"/>
        </patternFill>
      </fill>
    </dxf>
    <dxf>
      <fill>
        <patternFill>
          <bgColor rgb="FF88C6FF"/>
        </patternFill>
      </fill>
    </dxf>
    <dxf>
      <font>
        <strike val="0"/>
        <color rgb="FFFF0000"/>
      </font>
      <fill>
        <patternFill patternType="solid">
          <bgColor rgb="FF88C6FF"/>
        </patternFill>
      </fill>
    </dxf>
    <dxf>
      <font>
        <strike val="0"/>
        <color rgb="FFFF0000"/>
      </font>
      <fill>
        <patternFill patternType="solid">
          <bgColor theme="0" tint="-4.9989318521683403E-2"/>
        </patternFill>
      </fill>
    </dxf>
    <dxf>
      <font>
        <strike/>
        <color theme="2" tint="-9.9948118533890809E-2"/>
      </font>
      <fill>
        <patternFill patternType="solid">
          <bgColor theme="0" tint="-4.9989318521683403E-2"/>
        </patternFill>
      </fill>
    </dxf>
    <dxf>
      <fill>
        <patternFill>
          <bgColor theme="0" tint="-0.14996795556505021"/>
        </patternFill>
      </fill>
    </dxf>
    <dxf>
      <fill>
        <patternFill>
          <bgColor rgb="FF88C6FF"/>
        </patternFill>
      </fill>
    </dxf>
    <dxf>
      <font>
        <strike val="0"/>
        <color rgb="FFFF0000"/>
      </font>
      <fill>
        <patternFill patternType="solid">
          <bgColor rgb="FF88C6FF"/>
        </patternFill>
      </fill>
    </dxf>
    <dxf>
      <font>
        <strike val="0"/>
        <color rgb="FFFF0000"/>
      </font>
      <fill>
        <patternFill patternType="solid">
          <bgColor theme="0" tint="-4.9989318521683403E-2"/>
        </patternFill>
      </fill>
    </dxf>
    <dxf>
      <font>
        <strike/>
        <color theme="2" tint="-9.9948118533890809E-2"/>
      </font>
      <fill>
        <patternFill patternType="solid">
          <bgColor theme="0" tint="-4.9989318521683403E-2"/>
        </patternFill>
      </fill>
    </dxf>
    <dxf>
      <fill>
        <patternFill>
          <bgColor theme="0" tint="-0.14996795556505021"/>
        </patternFill>
      </fill>
    </dxf>
    <dxf>
      <fill>
        <patternFill>
          <bgColor rgb="FF88C6FF"/>
        </patternFill>
      </fill>
    </dxf>
    <dxf>
      <font>
        <strike val="0"/>
        <color rgb="FFFF0000"/>
      </font>
      <fill>
        <patternFill patternType="solid">
          <bgColor rgb="FF88C6FF"/>
        </patternFill>
      </fill>
    </dxf>
    <dxf>
      <font>
        <strike val="0"/>
        <color rgb="FFFF0000"/>
      </font>
      <fill>
        <patternFill patternType="solid">
          <bgColor theme="0" tint="-4.9989318521683403E-2"/>
        </patternFill>
      </fill>
    </dxf>
    <dxf>
      <font>
        <strike/>
        <color theme="2" tint="-9.9948118533890809E-2"/>
      </font>
      <fill>
        <patternFill patternType="solid">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9" formatCode="d/m/yyyy"/>
    </dxf>
    <dxf>
      <numFmt numFmtId="0" formatCode="General"/>
    </dxf>
    <dxf>
      <numFmt numFmtId="0" formatCode="General"/>
    </dxf>
    <dxf>
      <numFmt numFmtId="0" formatCode="General"/>
    </dxf>
    <dxf>
      <numFmt numFmtId="0" formatCode="General"/>
    </dxf>
    <dxf>
      <numFmt numFmtId="0" formatCode="General"/>
    </dxf>
    <dxf>
      <alignment horizontal="left" vertical="bottom" textRotation="0" wrapText="0" indent="0" justifyLastLine="0" shrinkToFit="0" readingOrder="0"/>
    </dxf>
    <dxf>
      <numFmt numFmtId="19" formatCode="d/m/yyyy"/>
    </dxf>
    <dxf>
      <numFmt numFmtId="0" formatCode="General"/>
    </dxf>
    <dxf>
      <numFmt numFmtId="0" formatCode="General"/>
    </dxf>
    <dxf>
      <numFmt numFmtId="0" formatCode="General"/>
    </dxf>
    <dxf>
      <numFmt numFmtId="0" formatCode="General"/>
    </dxf>
    <dxf>
      <numFmt numFmtId="0" formatCode="General"/>
    </dxf>
    <dxf>
      <alignment horizontal="left" vertical="bottom" textRotation="0" wrapText="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dxf>
    <dxf>
      <alignment horizontal="general" vertical="top" textRotation="0" indent="0" justifyLastLine="0" shrinkToFit="0" readingOrder="0"/>
    </dxf>
    <dxf>
      <border outline="0">
        <top style="thin">
          <color rgb="FF000000"/>
        </top>
      </border>
    </dxf>
    <dxf>
      <alignment horizontal="general" vertical="top" textRotation="0" indent="0" justifyLastLine="0" shrinkToFit="0" readingOrder="0"/>
    </dxf>
    <dxf>
      <border outline="0">
        <bottom style="thin">
          <color rgb="FF000000"/>
        </bottom>
      </border>
    </dxf>
    <dxf>
      <font>
        <b/>
        <i val="0"/>
        <strike val="0"/>
        <condense val="0"/>
        <extend val="0"/>
        <outline val="0"/>
        <shadow val="0"/>
        <u val="none"/>
        <vertAlign val="baseline"/>
        <sz val="11"/>
        <color theme="1"/>
        <name val="Aptos Narrow"/>
        <family val="2"/>
        <scheme val="minor"/>
      </font>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numFmt numFmtId="0" formatCode="General"/>
      <alignment horizontal="general" vertical="top" textRotation="0" indent="0" justifyLastLine="0" shrinkToFit="0" readingOrder="0"/>
    </dxf>
    <dxf>
      <numFmt numFmtId="0" formatCode="General"/>
      <alignment horizontal="general" vertical="top" textRotation="0" indent="0" justifyLastLine="0" shrinkToFit="0" readingOrder="0"/>
    </dxf>
    <dxf>
      <alignment horizontal="general" vertical="top" textRotation="0" indent="0" justifyLastLine="0" shrinkToFit="0" readingOrder="0"/>
    </dxf>
    <dxf>
      <border outline="0">
        <top style="thin">
          <color theme="1"/>
        </top>
      </border>
    </dxf>
    <dxf>
      <alignment horizontal="general" vertical="top" textRotation="0"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alignment horizontal="general" vertical="top" textRotation="0" indent="0" justifyLastLine="0" shrinkToFit="0" readingOrder="0"/>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auto="1"/>
        </top>
        <bottom style="hair">
          <color auto="1"/>
        </bottom>
      </border>
      <protection locked="0" hidden="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i val="0"/>
        <strike val="0"/>
        <condense val="0"/>
        <extend val="0"/>
        <outline val="0"/>
        <shadow val="0"/>
        <u val="none"/>
        <vertAlign val="baseline"/>
        <sz val="12"/>
        <color rgb="FFFF0000"/>
        <name val="Aptos Narrow"/>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hair">
          <color auto="1"/>
        </left>
        <right/>
        <top style="hair">
          <color auto="1"/>
        </top>
        <bottom style="hair">
          <color auto="1"/>
        </bottom>
      </border>
    </dxf>
    <dxf>
      <fill>
        <patternFill patternType="none">
          <fgColor indexed="64"/>
          <bgColor indexed="65"/>
        </patternFill>
      </fill>
    </dxf>
    <dxf>
      <font>
        <sz val="22"/>
        <color theme="6" tint="0.39997558519241921"/>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hair">
          <color auto="1"/>
        </right>
        <top style="hair">
          <color auto="1"/>
        </top>
        <bottom style="hair">
          <color auto="1"/>
        </bottom>
      </border>
    </dxf>
    <dxf>
      <fill>
        <patternFill patternType="none">
          <fgColor indexed="64"/>
          <bgColor indexed="65"/>
        </patternFill>
      </fill>
    </dxf>
    <dxf>
      <font>
        <color auto="1"/>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numFmt numFmtId="0" formatCode="General"/>
      <alignment horizontal="center"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strike val="0"/>
        <outline val="0"/>
        <shadow val="0"/>
        <u val="none"/>
        <vertAlign val="baseline"/>
        <sz val="11"/>
        <color auto="1"/>
        <name val="Aptos Narrow"/>
        <family val="2"/>
        <scheme val="minor"/>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justify"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left" vertical="top" textRotation="0" indent="0" justifyLastLine="0" shrinkToFit="0" readingOrder="0"/>
    </dxf>
    <dxf>
      <font>
        <strike val="0"/>
        <outline val="0"/>
        <shadow val="0"/>
        <u val="none"/>
        <vertAlign val="baseline"/>
        <sz val="11"/>
        <name val="Aptos Narrow"/>
        <family val="2"/>
        <scheme val="minor"/>
      </font>
      <alignment horizontal="left" vertical="center" textRotation="0" wrapText="0" indent="0" justifyLastLine="0" shrinkToFit="0" readingOrder="0"/>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auto="1"/>
        </top>
        <bottom style="hair">
          <color auto="1"/>
        </bottom>
      </border>
      <protection locked="0" hidden="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i val="0"/>
        <strike val="0"/>
        <condense val="0"/>
        <extend val="0"/>
        <outline val="0"/>
        <shadow val="0"/>
        <u val="none"/>
        <vertAlign val="baseline"/>
        <sz val="12"/>
        <color rgb="FFFF0000"/>
        <name val="Aptos Narrow"/>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hair">
          <color auto="1"/>
        </left>
        <right/>
        <top style="hair">
          <color auto="1"/>
        </top>
        <bottom style="hair">
          <color auto="1"/>
        </bottom>
      </border>
    </dxf>
    <dxf>
      <fill>
        <patternFill patternType="none">
          <fgColor indexed="64"/>
          <bgColor indexed="65"/>
        </patternFill>
      </fill>
    </dxf>
    <dxf>
      <font>
        <sz val="22"/>
        <color theme="6" tint="0.39997558519241921"/>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hair">
          <color auto="1"/>
        </right>
        <top style="hair">
          <color auto="1"/>
        </top>
        <bottom style="hair">
          <color auto="1"/>
        </bottom>
      </border>
    </dxf>
    <dxf>
      <fill>
        <patternFill patternType="none">
          <fgColor indexed="64"/>
          <bgColor indexed="65"/>
        </patternFill>
      </fill>
    </dxf>
    <dxf>
      <font>
        <color auto="1"/>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numFmt numFmtId="0" formatCode="General"/>
      <alignment horizontal="center"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strike val="0"/>
        <outline val="0"/>
        <shadow val="0"/>
        <u val="none"/>
        <vertAlign val="baseline"/>
        <sz val="11"/>
        <color auto="1"/>
        <name val="Aptos Narrow"/>
        <family val="2"/>
        <scheme val="minor"/>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justify"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left" vertical="top" textRotation="0" indent="0" justifyLastLine="0" shrinkToFit="0" readingOrder="0"/>
    </dxf>
    <dxf>
      <font>
        <strike val="0"/>
        <outline val="0"/>
        <shadow val="0"/>
        <u val="none"/>
        <vertAlign val="baseline"/>
        <sz val="11"/>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none">
          <fgColor indexed="64"/>
          <bgColor auto="1"/>
        </patternFill>
      </fill>
      <alignment horizontal="left" vertical="top" textRotation="0" wrapText="0" indent="0" justifyLastLine="0" shrinkToFit="0" readingOrder="0"/>
    </dxf>
    <dxf>
      <fill>
        <patternFill patternType="none">
          <fgColor indexed="64"/>
          <bgColor indexed="65"/>
        </patternFill>
      </fill>
    </dxf>
    <dxf>
      <font>
        <strike val="0"/>
        <outline val="0"/>
        <shadow val="0"/>
        <u val="none"/>
        <vertAlign val="baseline"/>
        <sz val="11"/>
        <name val="Aptos Narrow"/>
        <family val="2"/>
        <scheme val="minor"/>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justify"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left" vertical="top" textRotation="0" indent="0" justifyLastLine="0" shrinkToFit="0" readingOrder="0"/>
    </dxf>
    <dxf>
      <font>
        <strike val="0"/>
        <outline val="0"/>
        <shadow val="0"/>
        <u val="none"/>
        <vertAlign val="baseline"/>
        <sz val="11"/>
        <name val="Aptos Narrow"/>
        <family val="2"/>
        <scheme val="minor"/>
      </font>
      <alignment horizontal="left" vertical="top" textRotation="0" wrapText="0" indent="0" justifyLastLine="0" shrinkToFit="0" readingOrder="0"/>
    </dxf>
    <dxf>
      <font>
        <b/>
        <i val="0"/>
        <strike val="0"/>
        <condense val="0"/>
        <extend val="0"/>
        <outline val="0"/>
        <shadow val="0"/>
        <u val="none"/>
        <vertAlign val="baseline"/>
        <sz val="11"/>
        <color theme="1"/>
        <name val="Aptos Narrow"/>
        <family val="2"/>
        <scheme val="minor"/>
      </font>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auto="1"/>
        </top>
        <bottom style="hair">
          <color auto="1"/>
        </bottom>
      </border>
      <protection locked="0" hidden="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i val="0"/>
        <strike val="0"/>
        <condense val="0"/>
        <extend val="0"/>
        <outline val="0"/>
        <shadow val="0"/>
        <u val="none"/>
        <vertAlign val="baseline"/>
        <sz val="12"/>
        <color rgb="FFFF0000"/>
        <name val="Aptos Narrow"/>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hair">
          <color auto="1"/>
        </left>
        <right/>
        <top style="hair">
          <color auto="1"/>
        </top>
        <bottom style="hair">
          <color auto="1"/>
        </bottom>
      </border>
    </dxf>
    <dxf>
      <fill>
        <patternFill patternType="none">
          <fgColor indexed="64"/>
          <bgColor indexed="65"/>
        </patternFill>
      </fill>
    </dxf>
    <dxf>
      <font>
        <sz val="22"/>
        <color theme="6" tint="0.39997558519241921"/>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hair">
          <color auto="1"/>
        </right>
        <top style="hair">
          <color auto="1"/>
        </top>
        <bottom style="hair">
          <color auto="1"/>
        </bottom>
      </border>
    </dxf>
    <dxf>
      <fill>
        <patternFill patternType="none">
          <fgColor indexed="64"/>
          <bgColor indexed="65"/>
        </patternFill>
      </fill>
    </dxf>
    <dxf>
      <font>
        <color auto="1"/>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numFmt numFmtId="0" formatCode="General"/>
      <alignment horizontal="center"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strike val="0"/>
        <outline val="0"/>
        <shadow val="0"/>
        <u val="none"/>
        <vertAlign val="baseline"/>
        <sz val="11"/>
        <color auto="1"/>
        <name val="Aptos Narrow"/>
        <family val="2"/>
        <scheme val="minor"/>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justify"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left" vertical="top" textRotation="0" indent="0" justifyLastLine="0" shrinkToFit="0" readingOrder="0"/>
    </dxf>
    <dxf>
      <font>
        <strike val="0"/>
        <outline val="0"/>
        <shadow val="0"/>
        <u val="none"/>
        <vertAlign val="baseline"/>
        <sz val="11"/>
        <name val="Aptos Narrow"/>
        <family val="2"/>
        <scheme val="minor"/>
      </font>
      <alignment horizontal="left" vertical="center" textRotation="0" wrapText="0" indent="0" justifyLastLine="0" shrinkToFit="0" readingOrder="0"/>
    </dxf>
  </dxfs>
  <tableStyles count="0" defaultTableStyle="TableStyleMedium2" defaultPivotStyle="PivotStyleLight16"/>
  <colors>
    <mruColors>
      <color rgb="FFBB90FF"/>
      <color rgb="FF008ADE"/>
      <color rgb="FF96E1FF"/>
      <color rgb="FF13374B"/>
      <color rgb="FF88C6FF"/>
      <color rgb="FFD0EF67"/>
      <color rgb="FFEEB36D"/>
      <color rgb="FFF3497E"/>
      <color rgb="FF7F81FC"/>
      <color rgb="FFB7D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5.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8.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4.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3.xml"/><Relationship Id="rId20" Type="http://schemas.microsoft.com/office/2007/relationships/slicerCache" Target="slicerCaches/slicerCache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microsoft.com/office/2007/relationships/slicerCache" Target="slicerCaches/slicerCache6.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 Id="rId22" Type="http://schemas.microsoft.com/office/2007/relationships/slicerCache" Target="slicerCaches/slicerCache9.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i="0" baseline="0"/>
              <a:t>Kriteerien täyttyminen kategorioittain</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percentStacked"/>
        <c:varyColors val="0"/>
        <c:ser>
          <c:idx val="0"/>
          <c:order val="0"/>
          <c:tx>
            <c:strRef>
              <c:f>'TEKNINEN - TulostenLasku'!$D$6</c:f>
              <c:strCache>
                <c:ptCount val="1"/>
                <c:pt idx="0">
                  <c:v>Kriteeri täyttyy</c:v>
                </c:pt>
              </c:strCache>
            </c:strRef>
          </c:tx>
          <c:spPr>
            <a:solidFill>
              <a:schemeClr val="accent1"/>
            </a:solidFill>
            <a:ln>
              <a:noFill/>
            </a:ln>
            <a:effectLst/>
          </c:spPr>
          <c:invertIfNegative val="0"/>
          <c:cat>
            <c:strRef>
              <c:f>'TEKNINEN - TulostenLasku'!$C$7:$C$10</c:f>
              <c:strCache>
                <c:ptCount val="4"/>
                <c:pt idx="0">
                  <c:v>Turvallinen ja toimintavarma</c:v>
                </c:pt>
                <c:pt idx="1">
                  <c:v>Kustannustehokas ja organisoitu</c:v>
                </c:pt>
                <c:pt idx="2">
                  <c:v>Kestävä ja kehittyvä</c:v>
                </c:pt>
                <c:pt idx="3">
                  <c:v>Huoltovarmuus</c:v>
                </c:pt>
              </c:strCache>
            </c:strRef>
          </c:cat>
          <c:val>
            <c:numRef>
              <c:f>'TEKNINEN - TulostenLasku'!$D$7:$D$10</c:f>
              <c:numCache>
                <c:formatCode>0%</c:formatCode>
                <c:ptCount val="4"/>
                <c:pt idx="0">
                  <c:v>0</c:v>
                </c:pt>
                <c:pt idx="1">
                  <c:v>0</c:v>
                </c:pt>
                <c:pt idx="2">
                  <c:v>0</c:v>
                </c:pt>
                <c:pt idx="3">
                  <c:v>0</c:v>
                </c:pt>
              </c:numCache>
            </c:numRef>
          </c:val>
          <c:extLst>
            <c:ext xmlns:c16="http://schemas.microsoft.com/office/drawing/2014/chart" uri="{C3380CC4-5D6E-409C-BE32-E72D297353CC}">
              <c16:uniqueId val="{00000000-AD44-4523-9E0D-CA055BD1A2B3}"/>
            </c:ext>
          </c:extLst>
        </c:ser>
        <c:ser>
          <c:idx val="1"/>
          <c:order val="1"/>
          <c:tx>
            <c:strRef>
              <c:f>'TEKNINEN - TulostenLasku'!$E$6</c:f>
              <c:strCache>
                <c:ptCount val="1"/>
                <c:pt idx="0">
                  <c:v>Korjattavaa</c:v>
                </c:pt>
              </c:strCache>
            </c:strRef>
          </c:tx>
          <c:spPr>
            <a:solidFill>
              <a:schemeClr val="accent2"/>
            </a:solidFill>
            <a:ln>
              <a:noFill/>
            </a:ln>
            <a:effectLst/>
          </c:spPr>
          <c:invertIfNegative val="0"/>
          <c:cat>
            <c:strRef>
              <c:f>'TEKNINEN - TulostenLasku'!$C$7:$C$10</c:f>
              <c:strCache>
                <c:ptCount val="4"/>
                <c:pt idx="0">
                  <c:v>Turvallinen ja toimintavarma</c:v>
                </c:pt>
                <c:pt idx="1">
                  <c:v>Kustannustehokas ja organisoitu</c:v>
                </c:pt>
                <c:pt idx="2">
                  <c:v>Kestävä ja kehittyvä</c:v>
                </c:pt>
                <c:pt idx="3">
                  <c:v>Huoltovarmuus</c:v>
                </c:pt>
              </c:strCache>
            </c:strRef>
          </c:cat>
          <c:val>
            <c:numRef>
              <c:f>'TEKNINEN - TulostenLasku'!$E$7:$E$10</c:f>
              <c:numCache>
                <c:formatCode>0%</c:formatCode>
                <c:ptCount val="4"/>
                <c:pt idx="0">
                  <c:v>0</c:v>
                </c:pt>
                <c:pt idx="1">
                  <c:v>0</c:v>
                </c:pt>
                <c:pt idx="2">
                  <c:v>0</c:v>
                </c:pt>
                <c:pt idx="3">
                  <c:v>0</c:v>
                </c:pt>
              </c:numCache>
            </c:numRef>
          </c:val>
          <c:extLst>
            <c:ext xmlns:c16="http://schemas.microsoft.com/office/drawing/2014/chart" uri="{C3380CC4-5D6E-409C-BE32-E72D297353CC}">
              <c16:uniqueId val="{00000001-AD44-4523-9E0D-CA055BD1A2B3}"/>
            </c:ext>
          </c:extLst>
        </c:ser>
        <c:dLbls>
          <c:showLegendKey val="0"/>
          <c:showVal val="0"/>
          <c:showCatName val="0"/>
          <c:showSerName val="0"/>
          <c:showPercent val="0"/>
          <c:showBubbleSize val="0"/>
        </c:dLbls>
        <c:gapWidth val="150"/>
        <c:overlap val="100"/>
        <c:axId val="661247088"/>
        <c:axId val="352785024"/>
      </c:barChart>
      <c:catAx>
        <c:axId val="661247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52785024"/>
        <c:crosses val="autoZero"/>
        <c:auto val="1"/>
        <c:lblAlgn val="ctr"/>
        <c:lblOffset val="100"/>
        <c:noMultiLvlLbl val="0"/>
      </c:catAx>
      <c:valAx>
        <c:axId val="35278502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6124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i="0" baseline="0"/>
              <a:t>Kriteerien täyttyminen kategorioittain</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percentStacked"/>
        <c:varyColors val="0"/>
        <c:ser>
          <c:idx val="0"/>
          <c:order val="0"/>
          <c:tx>
            <c:strRef>
              <c:f>Tulokset!$E$5</c:f>
              <c:strCache>
                <c:ptCount val="1"/>
                <c:pt idx="0">
                  <c:v>Kriteeri täyttyy</c:v>
                </c:pt>
              </c:strCache>
            </c:strRef>
          </c:tx>
          <c:spPr>
            <a:solidFill>
              <a:schemeClr val="accent1"/>
            </a:solidFill>
            <a:ln>
              <a:noFill/>
            </a:ln>
            <a:effectLst/>
          </c:spPr>
          <c:invertIfNegative val="0"/>
          <c:cat>
            <c:strRef>
              <c:f>Tulokset!$C$6:$C$9</c:f>
              <c:strCache>
                <c:ptCount val="4"/>
                <c:pt idx="0">
                  <c:v>Turvallinen ja toimintavarma</c:v>
                </c:pt>
                <c:pt idx="1">
                  <c:v>Kustannustehokas ja organisoitu</c:v>
                </c:pt>
                <c:pt idx="2">
                  <c:v>Kestävä ja kehittyvä</c:v>
                </c:pt>
                <c:pt idx="3">
                  <c:v>Huoltovarmuus</c:v>
                </c:pt>
              </c:strCache>
            </c:strRef>
          </c:cat>
          <c:val>
            <c:numRef>
              <c:f>Tulokset!$E$6:$E$9</c:f>
              <c:numCache>
                <c:formatCode>0%</c:formatCode>
                <c:ptCount val="4"/>
                <c:pt idx="0">
                  <c:v>0</c:v>
                </c:pt>
                <c:pt idx="1">
                  <c:v>0</c:v>
                </c:pt>
                <c:pt idx="2">
                  <c:v>0</c:v>
                </c:pt>
                <c:pt idx="3">
                  <c:v>0</c:v>
                </c:pt>
              </c:numCache>
            </c:numRef>
          </c:val>
          <c:extLst>
            <c:ext xmlns:c16="http://schemas.microsoft.com/office/drawing/2014/chart" uri="{C3380CC4-5D6E-409C-BE32-E72D297353CC}">
              <c16:uniqueId val="{00000000-25EB-41DD-BF0F-999FE8A7E956}"/>
            </c:ext>
          </c:extLst>
        </c:ser>
        <c:ser>
          <c:idx val="1"/>
          <c:order val="1"/>
          <c:tx>
            <c:strRef>
              <c:f>Tulokset!$F$5</c:f>
              <c:strCache>
                <c:ptCount val="1"/>
                <c:pt idx="0">
                  <c:v>Korjattavaa</c:v>
                </c:pt>
              </c:strCache>
            </c:strRef>
          </c:tx>
          <c:spPr>
            <a:solidFill>
              <a:schemeClr val="accent2"/>
            </a:solidFill>
            <a:ln>
              <a:noFill/>
            </a:ln>
            <a:effectLst/>
          </c:spPr>
          <c:invertIfNegative val="0"/>
          <c:cat>
            <c:strRef>
              <c:f>Tulokset!$C$6:$C$9</c:f>
              <c:strCache>
                <c:ptCount val="4"/>
                <c:pt idx="0">
                  <c:v>Turvallinen ja toimintavarma</c:v>
                </c:pt>
                <c:pt idx="1">
                  <c:v>Kustannustehokas ja organisoitu</c:v>
                </c:pt>
                <c:pt idx="2">
                  <c:v>Kestävä ja kehittyvä</c:v>
                </c:pt>
                <c:pt idx="3">
                  <c:v>Huoltovarmuus</c:v>
                </c:pt>
              </c:strCache>
            </c:strRef>
          </c:cat>
          <c:val>
            <c:numRef>
              <c:f>Tulokset!$F$6:$F$9</c:f>
              <c:numCache>
                <c:formatCode>0%</c:formatCode>
                <c:ptCount val="4"/>
                <c:pt idx="0">
                  <c:v>0</c:v>
                </c:pt>
                <c:pt idx="1">
                  <c:v>0</c:v>
                </c:pt>
                <c:pt idx="2">
                  <c:v>0</c:v>
                </c:pt>
                <c:pt idx="3">
                  <c:v>0</c:v>
                </c:pt>
              </c:numCache>
            </c:numRef>
          </c:val>
          <c:extLst>
            <c:ext xmlns:c16="http://schemas.microsoft.com/office/drawing/2014/chart" uri="{C3380CC4-5D6E-409C-BE32-E72D297353CC}">
              <c16:uniqueId val="{00000001-25EB-41DD-BF0F-999FE8A7E956}"/>
            </c:ext>
          </c:extLst>
        </c:ser>
        <c:dLbls>
          <c:showLegendKey val="0"/>
          <c:showVal val="0"/>
          <c:showCatName val="0"/>
          <c:showSerName val="0"/>
          <c:showPercent val="0"/>
          <c:showBubbleSize val="0"/>
        </c:dLbls>
        <c:gapWidth val="150"/>
        <c:overlap val="100"/>
        <c:axId val="661247088"/>
        <c:axId val="352785024"/>
      </c:barChart>
      <c:catAx>
        <c:axId val="661247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52785024"/>
        <c:crosses val="autoZero"/>
        <c:auto val="1"/>
        <c:lblAlgn val="ctr"/>
        <c:lblOffset val="100"/>
        <c:noMultiLvlLbl val="0"/>
      </c:catAx>
      <c:valAx>
        <c:axId val="35278502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6124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rgbClr val="13374B"/>
      </a:solidFill>
      <a:round/>
    </a:ln>
    <a:effectLst/>
  </c:spPr>
  <c:txPr>
    <a:bodyPr/>
    <a:lstStyle/>
    <a:p>
      <a:pPr>
        <a:defRPr sz="1200" baseline="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LV!$B$10"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LV!$G$5" lockText="1" noThreeD="1"/>
</file>

<file path=xl/ctrlProps/ctrlProp6.xml><?xml version="1.0" encoding="utf-8"?>
<formControlPr xmlns="http://schemas.microsoft.com/office/spreadsheetml/2009/9/main" objectType="CheckBox" fmlaLink="LV!$G$6" lockText="1" noThreeD="1"/>
</file>

<file path=xl/ctrlProps/ctrlProp7.xml><?xml version="1.0" encoding="utf-8"?>
<formControlPr xmlns="http://schemas.microsoft.com/office/spreadsheetml/2009/9/main" objectType="CheckBox" fmlaLink="LV!$G$7" lockText="1" noThreeD="1"/>
</file>

<file path=xl/ctrlProps/ctrlProp8.xml><?xml version="1.0" encoding="utf-8"?>
<formControlPr xmlns="http://schemas.microsoft.com/office/spreadsheetml/2009/9/main" objectType="CheckBox" fmlaLink="LV!$G$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7620</xdr:colOff>
      <xdr:row>23</xdr:row>
      <xdr:rowOff>83820</xdr:rowOff>
    </xdr:from>
    <xdr:to>
      <xdr:col>24</xdr:col>
      <xdr:colOff>15240</xdr:colOff>
      <xdr:row>55</xdr:row>
      <xdr:rowOff>160020</xdr:rowOff>
    </xdr:to>
    <xdr:sp macro="" textlink="">
      <xdr:nvSpPr>
        <xdr:cNvPr id="2" name="TextBox 1">
          <a:extLst>
            <a:ext uri="{FF2B5EF4-FFF2-40B4-BE49-F238E27FC236}">
              <a16:creationId xmlns:a16="http://schemas.microsoft.com/office/drawing/2014/main" id="{26DC1977-B897-4CD4-9C70-D9778252AABA}"/>
            </a:ext>
          </a:extLst>
        </xdr:cNvPr>
        <xdr:cNvSpPr txBox="1"/>
      </xdr:nvSpPr>
      <xdr:spPr>
        <a:xfrm>
          <a:off x="297180" y="5029200"/>
          <a:ext cx="13639800" cy="5928360"/>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i-FI" sz="1400" b="1">
              <a:effectLst/>
            </a:rPr>
            <a:t>Lähtötiedot</a:t>
          </a:r>
          <a:endParaRPr lang="fi-FI" b="1">
            <a:effectLst/>
          </a:endParaRPr>
        </a:p>
        <a:p>
          <a:pPr rtl="0"/>
          <a:r>
            <a:rPr lang="fi-FI">
              <a:effectLst/>
            </a:rPr>
            <a:t>Valitse yläpuolelta vesihuoltolaitoksenne kokoa ja toimialaa koskevat kohdat.</a:t>
          </a:r>
          <a:endParaRPr lang="fi-FI" baseline="0">
            <a:effectLst/>
          </a:endParaRPr>
        </a:p>
        <a:p>
          <a:pPr rtl="0"/>
          <a:endParaRPr lang="fi-FI">
            <a:effectLst/>
          </a:endParaRPr>
        </a:p>
        <a:p>
          <a:pPr rtl="0"/>
          <a:r>
            <a:rPr lang="fi-FI" sz="1400" b="1">
              <a:effectLst/>
            </a:rPr>
            <a:t>Vastaaminen</a:t>
          </a:r>
          <a:endParaRPr lang="fi-FI" b="1">
            <a:effectLst/>
          </a:endParaRPr>
        </a:p>
        <a:p>
          <a:pPr rtl="0"/>
          <a:r>
            <a:rPr lang="fi-FI">
              <a:effectLst/>
            </a:rPr>
            <a:t>Kriteerit</a:t>
          </a:r>
          <a:r>
            <a:rPr lang="fi-FI" baseline="0">
              <a:effectLst/>
            </a:rPr>
            <a:t> löytyvät kolmelta eri välilehdeltä, jotka on nimetty kategorioittain. Vastausohje: </a:t>
          </a:r>
          <a:endParaRPr lang="fi-FI">
            <a:effectLst/>
          </a:endParaRPr>
        </a:p>
        <a:p>
          <a:pPr marL="171450" indent="-171450" rtl="0">
            <a:buFont typeface="Arial" panose="020B0604020202020204" pitchFamily="34" charset="0"/>
            <a:buChar char="•"/>
          </a:pPr>
          <a:r>
            <a:rPr lang="fi-FI">
              <a:effectLst/>
            </a:rPr>
            <a:t>Vastaa ”</a:t>
          </a:r>
          <a:r>
            <a:rPr lang="fi-FI" b="1">
              <a:effectLst/>
            </a:rPr>
            <a:t>kyllä</a:t>
          </a:r>
          <a:r>
            <a:rPr lang="fi-FI">
              <a:effectLst/>
            </a:rPr>
            <a:t>”, kun kriteerikysymys kuvaa vesihuoltolaitoksesi tilannetta.</a:t>
          </a:r>
        </a:p>
        <a:p>
          <a:pPr marL="171450" indent="-171450" rtl="0">
            <a:buFont typeface="Arial" panose="020B0604020202020204" pitchFamily="34" charset="0"/>
            <a:buChar char="•"/>
          </a:pPr>
          <a:r>
            <a:rPr lang="fi-FI">
              <a:effectLst/>
            </a:rPr>
            <a:t>Vastaa ”</a:t>
          </a:r>
          <a:r>
            <a:rPr lang="fi-FI" b="1">
              <a:effectLst/>
            </a:rPr>
            <a:t>ei</a:t>
          </a:r>
          <a:r>
            <a:rPr lang="fi-FI">
              <a:effectLst/>
            </a:rPr>
            <a:t>”, mikäli kriteerikysymys ei kuvaa vesihuoltolaitoksesi tilannetta.</a:t>
          </a:r>
        </a:p>
        <a:p>
          <a:pPr marL="171450" indent="-171450" rtl="0">
            <a:buFont typeface="Arial" panose="020B0604020202020204" pitchFamily="34" charset="0"/>
            <a:buChar char="•"/>
          </a:pPr>
          <a:r>
            <a:rPr lang="fi-FI">
              <a:effectLst/>
            </a:rPr>
            <a:t>Vastaa ”</a:t>
          </a:r>
          <a:r>
            <a:rPr lang="fi-FI" b="1">
              <a:effectLst/>
            </a:rPr>
            <a:t>ei koske</a:t>
          </a:r>
          <a:r>
            <a:rPr lang="fi-FI">
              <a:effectLst/>
            </a:rPr>
            <a:t>”, jos kriteerikysymys ei ole koske vesihuoltolaitoksesi toimintaa.</a:t>
          </a:r>
        </a:p>
        <a:p>
          <a:pPr rtl="0"/>
          <a:endParaRPr lang="fi-FI" b="1">
            <a:effectLst/>
          </a:endParaRPr>
        </a:p>
        <a:p>
          <a:pPr rtl="0"/>
          <a:r>
            <a:rPr lang="fi-FI">
              <a:effectLst/>
            </a:rPr>
            <a:t>Näet </a:t>
          </a:r>
          <a:r>
            <a:rPr lang="fi-FI" b="1">
              <a:effectLst/>
            </a:rPr>
            <a:t>mustalla tekstillä</a:t>
          </a:r>
          <a:r>
            <a:rPr lang="fi-FI" b="1" baseline="0">
              <a:effectLst/>
            </a:rPr>
            <a:t> </a:t>
          </a:r>
          <a:r>
            <a:rPr lang="fi-FI" sz="1100">
              <a:solidFill>
                <a:schemeClr val="dk1"/>
              </a:solidFill>
              <a:effectLst/>
              <a:latin typeface="+mn-lt"/>
              <a:ea typeface="+mn-ea"/>
              <a:cs typeface="+mn-cs"/>
            </a:rPr>
            <a:t>kriteerit, jotka koskevat oman kokoluokkasi vesihuoltolaitosta. </a:t>
          </a:r>
          <a:r>
            <a:rPr lang="fi-FI" b="1">
              <a:effectLst/>
            </a:rPr>
            <a:t>Punaisella tekstillä </a:t>
          </a:r>
          <a:r>
            <a:rPr lang="fi-FI">
              <a:effectLst/>
            </a:rPr>
            <a:t>näet kriteerit, jotka koskevat kokoluokkaasi isompia vesihuoltolaitoksia tai ovat luokan 5 kriteereitä, mikä kuvaa erityisen hyvän vesihuollon tasoa. Vastaamalla ”kyllä” näihin kriteereihin, saat lisäpisteen. </a:t>
          </a:r>
          <a:r>
            <a:rPr lang="fi-FI" b="1">
              <a:effectLst/>
            </a:rPr>
            <a:t>Harmaalla tekstillä ja yliviivattuna </a:t>
          </a:r>
          <a:r>
            <a:rPr lang="fi-FI">
              <a:effectLst/>
            </a:rPr>
            <a:t>näet kriteerit,</a:t>
          </a:r>
          <a:r>
            <a:rPr lang="fi-FI" baseline="0">
              <a:effectLst/>
            </a:rPr>
            <a:t> jotka eivät koske teidän vesilaitostanne joko toimialan tai koon perusteella (voit halutessasi suodattaa nämä piiloon). </a:t>
          </a:r>
          <a:endParaRPr lang="fi-FI">
            <a:effectLst/>
          </a:endParaRPr>
        </a:p>
        <a:p>
          <a:pPr rtl="0"/>
          <a:endParaRPr lang="fi-FI">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Huoltovarmuus-sarakkeessa oleva tähti kertoo kysymyksen liittyvän</a:t>
          </a:r>
          <a:r>
            <a:rPr lang="fi-FI" sz="1100" baseline="0">
              <a:solidFill>
                <a:schemeClr val="dk1"/>
              </a:solidFill>
              <a:effectLst/>
              <a:latin typeface="+mn-lt"/>
              <a:ea typeface="+mn-ea"/>
              <a:cs typeface="+mn-cs"/>
            </a:rPr>
            <a:t> huoltovarmuuteen.</a:t>
          </a:r>
          <a:endParaRPr lang="en-GB">
            <a:effectLst/>
          </a:endParaRPr>
        </a:p>
        <a:p>
          <a:pPr rtl="0"/>
          <a:r>
            <a:rPr lang="fi-FI" b="1">
              <a:effectLst/>
            </a:rPr>
            <a:t>Muista:</a:t>
          </a:r>
          <a:r>
            <a:rPr lang="fi-FI">
              <a:effectLst/>
            </a:rPr>
            <a:t> Huoltovarmuuskriteerit voivat tuoda esiin vesihuoltolaitoksen haavoittuvuuksia, joten kriteerikohtaiset tulokset ovat lähtökohtaisesti luottamuksellista tietoa, eikä niitä pidä esittää julkisesti.</a:t>
          </a:r>
        </a:p>
        <a:p>
          <a:pPr rtl="0"/>
          <a:endParaRPr lang="fi-FI">
            <a:effectLst/>
          </a:endParaRPr>
        </a:p>
        <a:p>
          <a:pPr rtl="0"/>
          <a:r>
            <a:rPr lang="fi-FI" b="1">
              <a:effectLst/>
            </a:rPr>
            <a:t>Lisätietoa</a:t>
          </a:r>
          <a:r>
            <a:rPr lang="fi-FI">
              <a:effectLst/>
            </a:rPr>
            <a:t>: Hyvän vesihuollon kriteereistä lisätietoa ja ohjeita löytyy Vesilaitosyhdistyksen nettisivuilta kohdasta </a:t>
          </a:r>
          <a:r>
            <a:rPr lang="fi-FI" sz="1100" u="sng">
              <a:solidFill>
                <a:schemeClr val="dk1"/>
              </a:solidFill>
              <a:effectLst/>
              <a:latin typeface="+mn-lt"/>
              <a:ea typeface="+mn-ea"/>
              <a:cs typeface="+mn-cs"/>
              <a:hlinkClick xmlns:r="http://schemas.openxmlformats.org/officeDocument/2006/relationships" r:id=""/>
            </a:rPr>
            <a:t>www.vesilaitosyhdistys.fi</a:t>
          </a:r>
          <a:r>
            <a:rPr lang="fi-FI">
              <a:effectLst/>
            </a:rPr>
            <a:t> &gt; Kehittäminen ja tutkimus &gt; Hyvän vesihuollon kriteerit -työkalu</a:t>
          </a:r>
        </a:p>
        <a:p>
          <a:pPr rtl="0" eaLnBrk="1" fontAlgn="auto" latinLnBrk="0" hangingPunct="1"/>
          <a:endParaRPr lang="fi-FI" sz="1100" b="1" baseline="0">
            <a:solidFill>
              <a:schemeClr val="dk1"/>
            </a:solidFill>
            <a:effectLst/>
            <a:latin typeface="+mn-lt"/>
            <a:ea typeface="+mn-ea"/>
            <a:cs typeface="+mn-cs"/>
          </a:endParaRPr>
        </a:p>
        <a:p>
          <a:pPr rtl="0" eaLnBrk="1" fontAlgn="auto" latinLnBrk="0" hangingPunct="1"/>
          <a:r>
            <a:rPr lang="fi-FI" sz="1400" b="1" baseline="0">
              <a:solidFill>
                <a:schemeClr val="dk1"/>
              </a:solidFill>
              <a:effectLst/>
              <a:latin typeface="+mn-lt"/>
              <a:ea typeface="+mn-ea"/>
              <a:cs typeface="+mn-cs"/>
            </a:rPr>
            <a:t>Tulokset</a:t>
          </a:r>
          <a:br>
            <a:rPr lang="fi-FI" sz="1400" b="1" baseline="0">
              <a:solidFill>
                <a:schemeClr val="dk1"/>
              </a:solidFill>
              <a:effectLst/>
              <a:latin typeface="+mn-lt"/>
              <a:ea typeface="+mn-ea"/>
              <a:cs typeface="+mn-cs"/>
            </a:rPr>
          </a:br>
          <a:r>
            <a:rPr lang="fi-FI" sz="1100" b="1" baseline="0">
              <a:solidFill>
                <a:schemeClr val="dk1"/>
              </a:solidFill>
              <a:effectLst/>
              <a:latin typeface="+mn-lt"/>
              <a:ea typeface="+mn-ea"/>
              <a:cs typeface="+mn-cs"/>
            </a:rPr>
            <a:t>Tulokset</a:t>
          </a:r>
          <a:r>
            <a:rPr lang="fi-FI" sz="1100" baseline="0">
              <a:solidFill>
                <a:schemeClr val="dk1"/>
              </a:solidFill>
              <a:effectLst/>
              <a:latin typeface="+mn-lt"/>
              <a:ea typeface="+mn-ea"/>
              <a:cs typeface="+mn-cs"/>
            </a:rPr>
            <a:t>-välilehdellä saat raportin tuloksista. Tulokset päivittyvät reaaliaikaisesti, joten voit katsoa tuloksia, vaikka kaikkiin kysymyksiin ei olisi vielä vastattu.</a:t>
          </a:r>
          <a:endParaRPr lang="en-GB">
            <a:effectLst/>
          </a:endParaRPr>
        </a:p>
        <a:p>
          <a:pPr rtl="0"/>
          <a:r>
            <a:rPr lang="fi-FI" sz="1100" b="1" baseline="0">
              <a:solidFill>
                <a:schemeClr val="dk1"/>
              </a:solidFill>
              <a:effectLst/>
              <a:latin typeface="+mn-lt"/>
              <a:ea typeface="+mn-ea"/>
              <a:cs typeface="+mn-cs"/>
            </a:rPr>
            <a:t>Korjattavaa</a:t>
          </a:r>
          <a:r>
            <a:rPr lang="fi-FI" sz="1100" baseline="0">
              <a:solidFill>
                <a:schemeClr val="dk1"/>
              </a:solidFill>
              <a:effectLst/>
              <a:latin typeface="+mn-lt"/>
              <a:ea typeface="+mn-ea"/>
              <a:cs typeface="+mn-cs"/>
            </a:rPr>
            <a:t>-välilehdeltä näet listauksen korjauskohteista, jotka tulivat kysymyksissä vastaan. </a:t>
          </a:r>
          <a:endParaRPr lang="en-GB">
            <a:effectLst/>
          </a:endParaRPr>
        </a:p>
        <a:p>
          <a:pPr rtl="0"/>
          <a:r>
            <a:rPr lang="fi-FI" sz="1100" b="1" baseline="0">
              <a:solidFill>
                <a:schemeClr val="dk1"/>
              </a:solidFill>
              <a:effectLst/>
              <a:latin typeface="+mn-lt"/>
              <a:ea typeface="+mn-ea"/>
              <a:cs typeface="+mn-cs"/>
            </a:rPr>
            <a:t>Koontisivu</a:t>
          </a:r>
          <a:r>
            <a:rPr lang="fi-FI" sz="1100" b="0" baseline="0">
              <a:solidFill>
                <a:schemeClr val="dk1"/>
              </a:solidFill>
              <a:effectLst/>
              <a:latin typeface="+mn-lt"/>
              <a:ea typeface="+mn-ea"/>
              <a:cs typeface="+mn-cs"/>
            </a:rPr>
            <a:t>-välilehdellä on koottuna kaikki vastaukset tarkemmalla datalla esim. konsulttien datakeruuta (ja heidän tekemäänsä yhteenvetoraporttia) varten. </a:t>
          </a:r>
          <a:endParaRPr lang="en-GB">
            <a:effectLst/>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200" b="1">
              <a:solidFill>
                <a:schemeClr val="dk1"/>
              </a:solidFill>
              <a:effectLst/>
              <a:latin typeface="+mn-lt"/>
              <a:ea typeface="+mn-ea"/>
              <a:cs typeface="+mn-cs"/>
            </a:rPr>
            <a:t>Tulosten</a:t>
          </a:r>
          <a:r>
            <a:rPr lang="en-US" sz="1200" b="1" baseline="0">
              <a:solidFill>
                <a:schemeClr val="dk1"/>
              </a:solidFill>
              <a:effectLst/>
              <a:latin typeface="+mn-lt"/>
              <a:ea typeface="+mn-ea"/>
              <a:cs typeface="+mn-cs"/>
            </a:rPr>
            <a:t> tallennus itsearvioinnin jälkeen</a:t>
          </a:r>
          <a:endParaRPr lang="en-GB" sz="1200">
            <a:effectLst/>
          </a:endParaRPr>
        </a:p>
        <a:p>
          <a:r>
            <a:rPr lang="en-US" sz="1100" b="0" baseline="0">
              <a:solidFill>
                <a:schemeClr val="dk1"/>
              </a:solidFill>
              <a:effectLst/>
              <a:latin typeface="+mn-lt"/>
              <a:ea typeface="+mn-ea"/>
              <a:cs typeface="+mn-cs"/>
            </a:rPr>
            <a:t>Kun olet valmis itsearviointilomakkeen kanssa, voit tallentaa tulokset sisältävän Excel-tiedoston itsellesi. Excel on oletusarvoisesti "Vain luku"-tilassa, jotta voit säilyttää alkuperäisen Excelin tyhjänä seuraavia arviointikertoja varten. </a:t>
          </a:r>
          <a:br>
            <a:rPr lang="en-US" sz="1100" b="0" baseline="0">
              <a:solidFill>
                <a:schemeClr val="dk1"/>
              </a:solidFill>
              <a:effectLst/>
              <a:latin typeface="+mn-lt"/>
              <a:ea typeface="+mn-ea"/>
              <a:cs typeface="+mn-cs"/>
            </a:rPr>
          </a:br>
          <a:br>
            <a:rPr lang="en-US" sz="1100" b="0" baseline="0">
              <a:solidFill>
                <a:schemeClr val="dk1"/>
              </a:solidFill>
              <a:effectLst/>
              <a:latin typeface="+mn-lt"/>
              <a:ea typeface="+mn-ea"/>
              <a:cs typeface="+mn-cs"/>
            </a:rPr>
          </a:br>
          <a:r>
            <a:rPr lang="en-US" sz="1100" b="0" baseline="0">
              <a:solidFill>
                <a:schemeClr val="dk1"/>
              </a:solidFill>
              <a:effectLst/>
              <a:latin typeface="+mn-lt"/>
              <a:ea typeface="+mn-ea"/>
              <a:cs typeface="+mn-cs"/>
            </a:rPr>
            <a:t>Tee tulosten tallennus seuraavasti: </a:t>
          </a:r>
          <a:endParaRPr lang="en-GB">
            <a:effectLst/>
          </a:endParaRPr>
        </a:p>
        <a:p>
          <a:r>
            <a:rPr lang="en-US" sz="1100" b="0" baseline="0">
              <a:solidFill>
                <a:schemeClr val="dk1"/>
              </a:solidFill>
              <a:effectLst/>
              <a:latin typeface="+mn-lt"/>
              <a:ea typeface="+mn-ea"/>
              <a:cs typeface="+mn-cs"/>
            </a:rPr>
            <a:t>1. </a:t>
          </a:r>
          <a:r>
            <a:rPr lang="fi-FI" sz="1100">
              <a:solidFill>
                <a:schemeClr val="dk1"/>
              </a:solidFill>
              <a:effectLst/>
              <a:latin typeface="+mn-lt"/>
              <a:ea typeface="+mn-ea"/>
              <a:cs typeface="+mn-cs"/>
            </a:rPr>
            <a:t>Napsauta ylävalikosta "Tiedosto" (File) ja valitse "Tallenna nimellä" (Save As).</a:t>
          </a:r>
          <a:endParaRPr lang="en-GB">
            <a:effectLst/>
          </a:endParaRPr>
        </a:p>
        <a:p>
          <a:r>
            <a:rPr lang="en-US" sz="1100" b="0" baseline="0">
              <a:solidFill>
                <a:schemeClr val="dk1"/>
              </a:solidFill>
              <a:effectLst/>
              <a:latin typeface="+mn-lt"/>
              <a:ea typeface="+mn-ea"/>
              <a:cs typeface="+mn-cs"/>
            </a:rPr>
            <a:t>2. "</a:t>
          </a:r>
          <a:r>
            <a:rPr lang="fi-FI" sz="1100">
              <a:solidFill>
                <a:schemeClr val="dk1"/>
              </a:solidFill>
              <a:effectLst/>
              <a:latin typeface="+mn-lt"/>
              <a:ea typeface="+mn-ea"/>
              <a:cs typeface="+mn-cs"/>
            </a:rPr>
            <a:t>Tallenna nimellä" -valikossa anna tulokset</a:t>
          </a:r>
          <a:r>
            <a:rPr lang="fi-FI" sz="1100" baseline="0">
              <a:solidFill>
                <a:schemeClr val="dk1"/>
              </a:solidFill>
              <a:effectLst/>
              <a:latin typeface="+mn-lt"/>
              <a:ea typeface="+mn-ea"/>
              <a:cs typeface="+mn-cs"/>
            </a:rPr>
            <a:t> sisältävälle </a:t>
          </a:r>
          <a:r>
            <a:rPr lang="fi-FI" sz="1100">
              <a:solidFill>
                <a:schemeClr val="dk1"/>
              </a:solidFill>
              <a:effectLst/>
              <a:latin typeface="+mn-lt"/>
              <a:ea typeface="+mn-ea"/>
              <a:cs typeface="+mn-cs"/>
            </a:rPr>
            <a:t>Excelille uusi nimi esimerkiksi liittämällä nimeen täyttöpäivämäärä "20260219_Itsearviointilomake".</a:t>
          </a:r>
          <a:endParaRPr lang="en-GB">
            <a:effectLst/>
          </a:endParaRPr>
        </a:p>
        <a:p>
          <a:r>
            <a:rPr lang="fi-FI" sz="1100">
              <a:solidFill>
                <a:schemeClr val="dk1"/>
              </a:solidFill>
              <a:effectLst/>
              <a:latin typeface="+mn-lt"/>
              <a:ea typeface="+mn-ea"/>
              <a:cs typeface="+mn-cs"/>
            </a:rPr>
            <a:t>4. Napsauta "Tallenna" (Save). Vahvista tallennus.</a:t>
          </a:r>
          <a:endParaRPr lang="en-GB">
            <a:effectLst/>
          </a:endParaRPr>
        </a:p>
        <a:p>
          <a:endParaRPr lang="en-US" sz="1100"/>
        </a:p>
      </xdr:txBody>
    </xdr:sp>
    <xdr:clientData/>
  </xdr:twoCellAnchor>
  <xdr:twoCellAnchor editAs="oneCell">
    <xdr:from>
      <xdr:col>0</xdr:col>
      <xdr:colOff>0</xdr:colOff>
      <xdr:row>0</xdr:row>
      <xdr:rowOff>121920</xdr:rowOff>
    </xdr:from>
    <xdr:to>
      <xdr:col>12</xdr:col>
      <xdr:colOff>133138</xdr:colOff>
      <xdr:row>7</xdr:row>
      <xdr:rowOff>87854</xdr:rowOff>
    </xdr:to>
    <xdr:pic>
      <xdr:nvPicPr>
        <xdr:cNvPr id="5" name="Picture 4">
          <a:extLst>
            <a:ext uri="{FF2B5EF4-FFF2-40B4-BE49-F238E27FC236}">
              <a16:creationId xmlns:a16="http://schemas.microsoft.com/office/drawing/2014/main" id="{8B07B0F3-7F8A-47FE-8091-4E6F0705B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
          <a:ext cx="6739678" cy="1246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2</xdr:col>
          <xdr:colOff>38100</xdr:colOff>
          <xdr:row>13</xdr:row>
          <xdr:rowOff>222250</xdr:rowOff>
        </xdr:from>
        <xdr:to>
          <xdr:col>3</xdr:col>
          <xdr:colOff>38100</xdr:colOff>
          <xdr:row>15</xdr:row>
          <xdr:rowOff>0</xdr:rowOff>
        </xdr:to>
        <xdr:sp macro="" textlink="">
          <xdr:nvSpPr>
            <xdr:cNvPr id="1025" name="Option Button 1" descr="Luokka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14</xdr:row>
          <xdr:rowOff>254000</xdr:rowOff>
        </xdr:from>
        <xdr:to>
          <xdr:col>3</xdr:col>
          <xdr:colOff>31750</xdr:colOff>
          <xdr:row>16</xdr:row>
          <xdr:rowOff>0</xdr:rowOff>
        </xdr:to>
        <xdr:sp macro="" textlink="">
          <xdr:nvSpPr>
            <xdr:cNvPr id="1026" name="Option Button 2" descr="Luokka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15</xdr:row>
          <xdr:rowOff>222250</xdr:rowOff>
        </xdr:from>
        <xdr:to>
          <xdr:col>3</xdr:col>
          <xdr:colOff>76200</xdr:colOff>
          <xdr:row>17</xdr:row>
          <xdr:rowOff>44450</xdr:rowOff>
        </xdr:to>
        <xdr:sp macro="" textlink="">
          <xdr:nvSpPr>
            <xdr:cNvPr id="1027" name="Option Button 3" descr="Luokka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16</xdr:row>
          <xdr:rowOff>234950</xdr:rowOff>
        </xdr:from>
        <xdr:to>
          <xdr:col>3</xdr:col>
          <xdr:colOff>25400</xdr:colOff>
          <xdr:row>18</xdr:row>
          <xdr:rowOff>0</xdr:rowOff>
        </xdr:to>
        <xdr:sp macro="" textlink="">
          <xdr:nvSpPr>
            <xdr:cNvPr id="1028" name="Option Button 4" descr="Luokka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31750</xdr:colOff>
          <xdr:row>13</xdr:row>
          <xdr:rowOff>190500</xdr:rowOff>
        </xdr:from>
        <xdr:to>
          <xdr:col>7</xdr:col>
          <xdr:colOff>273050</xdr:colOff>
          <xdr:row>15</xdr:row>
          <xdr:rowOff>63500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31750</xdr:colOff>
          <xdr:row>14</xdr:row>
          <xdr:rowOff>203200</xdr:rowOff>
        </xdr:from>
        <xdr:to>
          <xdr:col>8</xdr:col>
          <xdr:colOff>0</xdr:colOff>
          <xdr:row>16</xdr:row>
          <xdr:rowOff>44450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31750</xdr:colOff>
          <xdr:row>15</xdr:row>
          <xdr:rowOff>165100</xdr:rowOff>
        </xdr:from>
        <xdr:to>
          <xdr:col>7</xdr:col>
          <xdr:colOff>279400</xdr:colOff>
          <xdr:row>17</xdr:row>
          <xdr:rowOff>82550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31750</xdr:colOff>
          <xdr:row>16</xdr:row>
          <xdr:rowOff>177800</xdr:rowOff>
        </xdr:from>
        <xdr:to>
          <xdr:col>8</xdr:col>
          <xdr:colOff>6350</xdr:colOff>
          <xdr:row>18</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absolute">
    <xdr:from>
      <xdr:col>15</xdr:col>
      <xdr:colOff>114300</xdr:colOff>
      <xdr:row>14</xdr:row>
      <xdr:rowOff>160021</xdr:rowOff>
    </xdr:from>
    <xdr:to>
      <xdr:col>24</xdr:col>
      <xdr:colOff>205740</xdr:colOff>
      <xdr:row>20</xdr:row>
      <xdr:rowOff>144781</xdr:rowOff>
    </xdr:to>
    <mc:AlternateContent xmlns:mc="http://schemas.openxmlformats.org/markup-compatibility/2006" xmlns:sle15="http://schemas.microsoft.com/office/drawing/2012/slicer">
      <mc:Choice Requires="sle15">
        <xdr:graphicFrame macro="">
          <xdr:nvGraphicFramePr>
            <xdr:cNvPr id="2" name="Kuuluuko kriteeri kyseisen laitoksen vastattavaksi 1">
              <a:extLst>
                <a:ext uri="{FF2B5EF4-FFF2-40B4-BE49-F238E27FC236}">
                  <a16:creationId xmlns:a16="http://schemas.microsoft.com/office/drawing/2014/main" id="{6187DDB9-2819-45AF-B866-2392B8DA4609}"/>
                </a:ext>
              </a:extLst>
            </xdr:cNvPr>
            <xdr:cNvGraphicFramePr/>
          </xdr:nvGraphicFramePr>
          <xdr:xfrm>
            <a:off x="0" y="0"/>
            <a:ext cx="0" cy="0"/>
          </xdr:xfrm>
          <a:graphic>
            <a:graphicData uri="http://schemas.microsoft.com/office/drawing/2010/slicer">
              <sle:slicer xmlns:sle="http://schemas.microsoft.com/office/drawing/2010/slicer" name="Kuuluuko kriteeri kyseisen laitoksen vastattavaksi 1"/>
            </a:graphicData>
          </a:graphic>
        </xdr:graphicFrame>
      </mc:Choice>
      <mc:Fallback xmlns="">
        <xdr:sp macro="" textlink="">
          <xdr:nvSpPr>
            <xdr:cNvPr id="0" name=""/>
            <xdr:cNvSpPr>
              <a:spLocks noTextEdit="1"/>
            </xdr:cNvSpPr>
          </xdr:nvSpPr>
          <xdr:spPr>
            <a:xfrm>
              <a:off x="17731740" y="2354581"/>
              <a:ext cx="5577840" cy="108204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15</xdr:col>
      <xdr:colOff>114300</xdr:colOff>
      <xdr:row>28</xdr:row>
      <xdr:rowOff>45720</xdr:rowOff>
    </xdr:from>
    <xdr:to>
      <xdr:col>24</xdr:col>
      <xdr:colOff>236220</xdr:colOff>
      <xdr:row>51</xdr:row>
      <xdr:rowOff>152400</xdr:rowOff>
    </xdr:to>
    <mc:AlternateContent xmlns:mc="http://schemas.openxmlformats.org/markup-compatibility/2006" xmlns:sle15="http://schemas.microsoft.com/office/drawing/2012/slicer">
      <mc:Choice Requires="sle15">
        <xdr:graphicFrame macro="">
          <xdr:nvGraphicFramePr>
            <xdr:cNvPr id="3" name="Alakategoria 1">
              <a:extLst>
                <a:ext uri="{FF2B5EF4-FFF2-40B4-BE49-F238E27FC236}">
                  <a16:creationId xmlns:a16="http://schemas.microsoft.com/office/drawing/2014/main" id="{33BBEAFA-FC35-4748-B31B-841E96AE58A7}"/>
                </a:ext>
              </a:extLst>
            </xdr:cNvPr>
            <xdr:cNvGraphicFramePr/>
          </xdr:nvGraphicFramePr>
          <xdr:xfrm>
            <a:off x="0" y="0"/>
            <a:ext cx="0" cy="0"/>
          </xdr:xfrm>
          <a:graphic>
            <a:graphicData uri="http://schemas.microsoft.com/office/drawing/2010/slicer">
              <sle:slicer xmlns:sle="http://schemas.microsoft.com/office/drawing/2010/slicer" name="Alakategoria 1"/>
            </a:graphicData>
          </a:graphic>
        </xdr:graphicFrame>
      </mc:Choice>
      <mc:Fallback xmlns="">
        <xdr:sp macro="" textlink="">
          <xdr:nvSpPr>
            <xdr:cNvPr id="0" name=""/>
            <xdr:cNvSpPr>
              <a:spLocks noTextEdit="1"/>
            </xdr:cNvSpPr>
          </xdr:nvSpPr>
          <xdr:spPr>
            <a:xfrm>
              <a:off x="17731740" y="4800600"/>
              <a:ext cx="5608320" cy="38862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15</xdr:col>
      <xdr:colOff>106680</xdr:colOff>
      <xdr:row>0</xdr:row>
      <xdr:rowOff>83820</xdr:rowOff>
    </xdr:from>
    <xdr:to>
      <xdr:col>24</xdr:col>
      <xdr:colOff>198120</xdr:colOff>
      <xdr:row>12</xdr:row>
      <xdr:rowOff>160020</xdr:rowOff>
    </xdr:to>
    <xdr:sp macro="" textlink="">
      <xdr:nvSpPr>
        <xdr:cNvPr id="4" name="TextBox 3">
          <a:extLst>
            <a:ext uri="{FF2B5EF4-FFF2-40B4-BE49-F238E27FC236}">
              <a16:creationId xmlns:a16="http://schemas.microsoft.com/office/drawing/2014/main" id="{A117CCBC-8E7B-45F9-AF18-CA93864F26CB}"/>
            </a:ext>
          </a:extLst>
        </xdr:cNvPr>
        <xdr:cNvSpPr txBox="1"/>
      </xdr:nvSpPr>
      <xdr:spPr>
        <a:xfrm>
          <a:off x="17724120" y="83820"/>
          <a:ext cx="5577840" cy="208788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13374B"/>
              </a:solidFill>
            </a:rPr>
            <a:t>Ohje</a:t>
          </a:r>
        </a:p>
        <a:p>
          <a:r>
            <a:rPr lang="en-GB" sz="1100" b="0"/>
            <a:t>Listauksessa näkyy oletusarvoisesti kaikki kriteerit (vain</a:t>
          </a:r>
          <a:r>
            <a:rPr lang="en-GB" sz="1100" b="0" baseline="0"/>
            <a:t> staattisena pysyvät otsikkorivit on suodatettu pois).</a:t>
          </a:r>
          <a:endParaRPr lang="en-GB" sz="1100" b="0"/>
        </a:p>
        <a:p>
          <a:r>
            <a:rPr lang="en-GB" sz="1100" b="0"/>
            <a:t>Jos haluat piilottaa sellaise</a:t>
          </a:r>
          <a:r>
            <a:rPr lang="en-GB" sz="1100" b="0" baseline="0"/>
            <a:t>t kriteeririvit, jotka eivät koske vastannutta laitosta -&gt; </a:t>
          </a:r>
          <a:br>
            <a:rPr lang="en-GB" sz="1100" b="0" baseline="0"/>
          </a:br>
          <a:r>
            <a:rPr lang="en-GB" sz="1100" b="1" baseline="0"/>
            <a:t>Valitse alla olevasta "Kuuluuko kriteeri kyseisen laitoksen vastattavaksi"-suodattimesta = "Kuuluu"</a:t>
          </a:r>
        </a:p>
        <a:p>
          <a:br>
            <a:rPr lang="en-GB" sz="1100" b="1" baseline="0"/>
          </a:br>
          <a:r>
            <a:rPr lang="en-GB" sz="1100" b="0" baseline="0"/>
            <a:t>Vaihtoehtoisesti saat suodatettua "Ei kuulu"-datan pois myös myöhemmin, kun eri laitosten datat on kerätty yhteen suodattamaalla taulukon A-sarakkeessa näkyvää "Kuuluuko kriteeri kyseisen laitoksen vastattavaksi"-kenttää. </a:t>
          </a:r>
          <a:endParaRPr lang="en-GB" sz="1100" b="0"/>
        </a:p>
      </xdr:txBody>
    </xdr:sp>
    <xdr:clientData/>
  </xdr:twoCellAnchor>
  <xdr:twoCellAnchor>
    <xdr:from>
      <xdr:col>15</xdr:col>
      <xdr:colOff>106680</xdr:colOff>
      <xdr:row>23</xdr:row>
      <xdr:rowOff>144780</xdr:rowOff>
    </xdr:from>
    <xdr:to>
      <xdr:col>24</xdr:col>
      <xdr:colOff>198120</xdr:colOff>
      <xdr:row>27</xdr:row>
      <xdr:rowOff>129540</xdr:rowOff>
    </xdr:to>
    <xdr:sp macro="" textlink="">
      <xdr:nvSpPr>
        <xdr:cNvPr id="5" name="TextBox 4">
          <a:extLst>
            <a:ext uri="{FF2B5EF4-FFF2-40B4-BE49-F238E27FC236}">
              <a16:creationId xmlns:a16="http://schemas.microsoft.com/office/drawing/2014/main" id="{FAC3F15F-DF92-4ECD-B5FD-ED0614672C26}"/>
            </a:ext>
          </a:extLst>
        </xdr:cNvPr>
        <xdr:cNvSpPr txBox="1"/>
      </xdr:nvSpPr>
      <xdr:spPr>
        <a:xfrm>
          <a:off x="17724120" y="3985260"/>
          <a:ext cx="5577840" cy="71628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t>Alla näkyvä suodatin piilottaa</a:t>
          </a:r>
          <a:r>
            <a:rPr lang="en-GB" sz="1100" b="0" baseline="0"/>
            <a:t> oletusarvoisesti taulukosta otsikkorivit = kaikki muut arvot ovat valittuina paitsi "_Otsikkorivi". </a:t>
          </a:r>
          <a:r>
            <a:rPr lang="en-GB" sz="1100" b="1" baseline="0"/>
            <a:t>Jos ylimäpänä näkyvä _Otsikkorivi-valinta näkyy erivärisellä pohjalla kuin loput valinnat -&gt; suodatus on voimassa ja sinun ei tarvitse tehdä mitään. </a:t>
          </a:r>
          <a:endParaRPr lang="en-GB" sz="1100" b="1"/>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15</xdr:col>
      <xdr:colOff>114300</xdr:colOff>
      <xdr:row>14</xdr:row>
      <xdr:rowOff>160021</xdr:rowOff>
    </xdr:from>
    <xdr:to>
      <xdr:col>24</xdr:col>
      <xdr:colOff>205740</xdr:colOff>
      <xdr:row>20</xdr:row>
      <xdr:rowOff>144781</xdr:rowOff>
    </xdr:to>
    <mc:AlternateContent xmlns:mc="http://schemas.openxmlformats.org/markup-compatibility/2006" xmlns:sle15="http://schemas.microsoft.com/office/drawing/2012/slicer">
      <mc:Choice Requires="sle15">
        <xdr:graphicFrame macro="">
          <xdr:nvGraphicFramePr>
            <xdr:cNvPr id="2" name="Kuuluuko kriteeri kyseisen laitoksen vastattavaksi">
              <a:extLst>
                <a:ext uri="{FF2B5EF4-FFF2-40B4-BE49-F238E27FC236}">
                  <a16:creationId xmlns:a16="http://schemas.microsoft.com/office/drawing/2014/main" id="{314E98EC-535F-DFE1-5B66-5CA85294F9C6}"/>
                </a:ext>
              </a:extLst>
            </xdr:cNvPr>
            <xdr:cNvGraphicFramePr/>
          </xdr:nvGraphicFramePr>
          <xdr:xfrm>
            <a:off x="0" y="0"/>
            <a:ext cx="0" cy="0"/>
          </xdr:xfrm>
          <a:graphic>
            <a:graphicData uri="http://schemas.microsoft.com/office/drawing/2010/slicer">
              <sle:slicer xmlns:sle="http://schemas.microsoft.com/office/drawing/2010/slicer" name="Kuuluuko kriteeri kyseisen laitoksen vastattavaksi"/>
            </a:graphicData>
          </a:graphic>
        </xdr:graphicFrame>
      </mc:Choice>
      <mc:Fallback xmlns="">
        <xdr:sp macro="" textlink="">
          <xdr:nvSpPr>
            <xdr:cNvPr id="0" name=""/>
            <xdr:cNvSpPr>
              <a:spLocks noTextEdit="1"/>
            </xdr:cNvSpPr>
          </xdr:nvSpPr>
          <xdr:spPr>
            <a:xfrm>
              <a:off x="17731740" y="2354581"/>
              <a:ext cx="5577840" cy="108204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15</xdr:col>
      <xdr:colOff>114300</xdr:colOff>
      <xdr:row>28</xdr:row>
      <xdr:rowOff>45720</xdr:rowOff>
    </xdr:from>
    <xdr:to>
      <xdr:col>24</xdr:col>
      <xdr:colOff>236220</xdr:colOff>
      <xdr:row>51</xdr:row>
      <xdr:rowOff>175260</xdr:rowOff>
    </xdr:to>
    <mc:AlternateContent xmlns:mc="http://schemas.openxmlformats.org/markup-compatibility/2006" xmlns:sle15="http://schemas.microsoft.com/office/drawing/2012/slicer">
      <mc:Choice Requires="sle15">
        <xdr:graphicFrame macro="">
          <xdr:nvGraphicFramePr>
            <xdr:cNvPr id="5" name="Alakategoria">
              <a:extLst>
                <a:ext uri="{FF2B5EF4-FFF2-40B4-BE49-F238E27FC236}">
                  <a16:creationId xmlns:a16="http://schemas.microsoft.com/office/drawing/2014/main" id="{0F835128-CD28-EECC-9C1F-DDCAC10DD921}"/>
                </a:ext>
              </a:extLst>
            </xdr:cNvPr>
            <xdr:cNvGraphicFramePr/>
          </xdr:nvGraphicFramePr>
          <xdr:xfrm>
            <a:off x="0" y="0"/>
            <a:ext cx="0" cy="0"/>
          </xdr:xfrm>
          <a:graphic>
            <a:graphicData uri="http://schemas.microsoft.com/office/drawing/2010/slicer">
              <sle:slicer xmlns:sle="http://schemas.microsoft.com/office/drawing/2010/slicer" name="Alakategoria"/>
            </a:graphicData>
          </a:graphic>
        </xdr:graphicFrame>
      </mc:Choice>
      <mc:Fallback xmlns="">
        <xdr:sp macro="" textlink="">
          <xdr:nvSpPr>
            <xdr:cNvPr id="0" name=""/>
            <xdr:cNvSpPr>
              <a:spLocks noTextEdit="1"/>
            </xdr:cNvSpPr>
          </xdr:nvSpPr>
          <xdr:spPr>
            <a:xfrm>
              <a:off x="17731740" y="4800600"/>
              <a:ext cx="5608320" cy="38862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15</xdr:col>
      <xdr:colOff>106680</xdr:colOff>
      <xdr:row>0</xdr:row>
      <xdr:rowOff>83820</xdr:rowOff>
    </xdr:from>
    <xdr:to>
      <xdr:col>24</xdr:col>
      <xdr:colOff>198120</xdr:colOff>
      <xdr:row>12</xdr:row>
      <xdr:rowOff>160020</xdr:rowOff>
    </xdr:to>
    <xdr:sp macro="" textlink="">
      <xdr:nvSpPr>
        <xdr:cNvPr id="6" name="TextBox 5">
          <a:extLst>
            <a:ext uri="{FF2B5EF4-FFF2-40B4-BE49-F238E27FC236}">
              <a16:creationId xmlns:a16="http://schemas.microsoft.com/office/drawing/2014/main" id="{06B80AB4-F06B-F34E-FFF0-B42A1A69DB86}"/>
            </a:ext>
          </a:extLst>
        </xdr:cNvPr>
        <xdr:cNvSpPr txBox="1"/>
      </xdr:nvSpPr>
      <xdr:spPr>
        <a:xfrm>
          <a:off x="17724120" y="83820"/>
          <a:ext cx="5577840" cy="227076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13374B"/>
              </a:solidFill>
            </a:rPr>
            <a:t>Ohje</a:t>
          </a:r>
        </a:p>
        <a:p>
          <a:r>
            <a:rPr lang="en-GB" sz="1100" b="0"/>
            <a:t>Listauksessa näkyy oletusarvoisesti kaikki kriteerit (vain</a:t>
          </a:r>
          <a:r>
            <a:rPr lang="en-GB" sz="1100" b="0" baseline="0"/>
            <a:t> staattisena pysyvät otsikkorivit on suodatettu pois).</a:t>
          </a:r>
          <a:endParaRPr lang="en-GB" sz="1100" b="0"/>
        </a:p>
        <a:p>
          <a:r>
            <a:rPr lang="en-GB" sz="1100" b="0"/>
            <a:t>Jos haluat piilottaa sellaise</a:t>
          </a:r>
          <a:r>
            <a:rPr lang="en-GB" sz="1100" b="0" baseline="0"/>
            <a:t>t kriteeririvit, jotka eivät koske vastannutta laitosta -&gt; </a:t>
          </a:r>
          <a:br>
            <a:rPr lang="en-GB" sz="1100" b="0" baseline="0"/>
          </a:br>
          <a:r>
            <a:rPr lang="en-GB" sz="1100" b="1" baseline="0"/>
            <a:t>Valitse alla olevasta "Kuuluuko kriteeri kyseisen laitoksen vastattavaksi"-suodattimesta = "Kuuluu"</a:t>
          </a:r>
        </a:p>
        <a:p>
          <a:br>
            <a:rPr lang="en-GB" sz="1100" b="1" baseline="0"/>
          </a:br>
          <a:r>
            <a:rPr lang="en-GB" sz="1100" b="0" baseline="0"/>
            <a:t>Vaihtoehtoisesti saat suodatettua "Ei kuulu"-datan pois myös myöhemmin, kun eri laitosten datat on kerätty yhteen suodattamaalla taulukon A-sarakkeessa näkyvää "Kuuluuko kriteeri kyseisen laitoksen vastattavaksi"-kenttää. </a:t>
          </a:r>
          <a:endParaRPr lang="en-GB" sz="1100" b="0"/>
        </a:p>
      </xdr:txBody>
    </xdr:sp>
    <xdr:clientData/>
  </xdr:twoCellAnchor>
  <xdr:twoCellAnchor>
    <xdr:from>
      <xdr:col>15</xdr:col>
      <xdr:colOff>106680</xdr:colOff>
      <xdr:row>23</xdr:row>
      <xdr:rowOff>144780</xdr:rowOff>
    </xdr:from>
    <xdr:to>
      <xdr:col>24</xdr:col>
      <xdr:colOff>198120</xdr:colOff>
      <xdr:row>27</xdr:row>
      <xdr:rowOff>129540</xdr:rowOff>
    </xdr:to>
    <xdr:sp macro="" textlink="">
      <xdr:nvSpPr>
        <xdr:cNvPr id="7" name="TextBox 6">
          <a:extLst>
            <a:ext uri="{FF2B5EF4-FFF2-40B4-BE49-F238E27FC236}">
              <a16:creationId xmlns:a16="http://schemas.microsoft.com/office/drawing/2014/main" id="{9F3DE40A-8951-4A45-B15F-F151190EF7B9}"/>
            </a:ext>
          </a:extLst>
        </xdr:cNvPr>
        <xdr:cNvSpPr txBox="1"/>
      </xdr:nvSpPr>
      <xdr:spPr>
        <a:xfrm>
          <a:off x="17724120" y="4351020"/>
          <a:ext cx="5577840" cy="71628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t>Alla näkyvä suodatin piilottaa</a:t>
          </a:r>
          <a:r>
            <a:rPr lang="en-GB" sz="1100" b="0" baseline="0"/>
            <a:t> oletusarvoisesti taulukosta otsikkorivit = kaikki muut arvot ovat valittuina paitsi "_Otsikkorivi". </a:t>
          </a:r>
          <a:r>
            <a:rPr lang="en-GB" sz="1100" b="1" baseline="0"/>
            <a:t>Jos ylimäpänä näkyvä _Otsikkorivi-valinta näkyy erivärisellä pohjalla kuin loput valinnat -&gt; suodatus on voimassa ja sinun ei tarvitse tehdä mitään. </a:t>
          </a:r>
          <a:endParaRPr lang="en-GB"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167640</xdr:rowOff>
    </xdr:from>
    <xdr:to>
      <xdr:col>18</xdr:col>
      <xdr:colOff>381000</xdr:colOff>
      <xdr:row>61</xdr:row>
      <xdr:rowOff>160020</xdr:rowOff>
    </xdr:to>
    <xdr:sp macro="" textlink="">
      <xdr:nvSpPr>
        <xdr:cNvPr id="3" name="TextBox 2">
          <a:extLst>
            <a:ext uri="{FF2B5EF4-FFF2-40B4-BE49-F238E27FC236}">
              <a16:creationId xmlns:a16="http://schemas.microsoft.com/office/drawing/2014/main" id="{C0179FA0-2D81-4245-BB3F-684044A2C4F8}"/>
            </a:ext>
          </a:extLst>
        </xdr:cNvPr>
        <xdr:cNvSpPr txBox="1"/>
      </xdr:nvSpPr>
      <xdr:spPr>
        <a:xfrm>
          <a:off x="0" y="167640"/>
          <a:ext cx="11353800" cy="11148060"/>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i-FI" sz="1800" b="1">
              <a:effectLst/>
            </a:rPr>
            <a:t>Ohje</a:t>
          </a:r>
          <a:endParaRPr lang="fi-FI" sz="1600" b="1">
            <a:effectLst/>
          </a:endParaRPr>
        </a:p>
        <a:p>
          <a:pPr rtl="0"/>
          <a:endParaRPr lang="fi-FI" sz="1600" b="1">
            <a:effectLst/>
          </a:endParaRPr>
        </a:p>
        <a:p>
          <a:pPr rtl="0"/>
          <a:r>
            <a:rPr lang="fi-FI" sz="1600" b="1">
              <a:effectLst/>
            </a:rPr>
            <a:t>Lähtötiedot</a:t>
          </a:r>
        </a:p>
        <a:p>
          <a:pPr rtl="0"/>
          <a:r>
            <a:rPr lang="fi-FI">
              <a:effectLst/>
            </a:rPr>
            <a:t>Anna ensin "Lähtötiedot"-välilehdellä vesihuoltolaitoksenne kokoa ja toimialaa koskeva</a:t>
          </a:r>
          <a:r>
            <a:rPr lang="fi-FI" baseline="0">
              <a:effectLst/>
            </a:rPr>
            <a:t>t lähtötiedot. </a:t>
          </a:r>
        </a:p>
        <a:p>
          <a:pPr rtl="0"/>
          <a:endParaRPr lang="fi-FI">
            <a:effectLst/>
          </a:endParaRPr>
        </a:p>
        <a:p>
          <a:pPr rtl="0"/>
          <a:endParaRPr lang="fi-FI">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fi-FI" sz="1600" b="1" i="0" u="none" strike="noStrike" kern="0" cap="none" spc="0" normalizeH="0" baseline="0" noProof="0">
              <a:ln>
                <a:noFill/>
              </a:ln>
              <a:solidFill>
                <a:prstClr val="black"/>
              </a:solidFill>
              <a:effectLst/>
              <a:uLnTx/>
              <a:uFillTx/>
              <a:latin typeface="+mn-lt"/>
              <a:ea typeface="+mn-ea"/>
              <a:cs typeface="+mn-cs"/>
            </a:rPr>
            <a:t>Vastaaminen</a:t>
          </a:r>
        </a:p>
        <a:p>
          <a:pPr rtl="0"/>
          <a:r>
            <a:rPr lang="fi-FI" sz="1100">
              <a:solidFill>
                <a:schemeClr val="dk1"/>
              </a:solidFill>
              <a:effectLst/>
              <a:latin typeface="+mn-lt"/>
              <a:ea typeface="+mn-ea"/>
              <a:cs typeface="+mn-cs"/>
            </a:rPr>
            <a:t>Kriteerit</a:t>
          </a:r>
          <a:r>
            <a:rPr lang="fi-FI" sz="1100" baseline="0">
              <a:solidFill>
                <a:schemeClr val="dk1"/>
              </a:solidFill>
              <a:effectLst/>
              <a:latin typeface="+mn-lt"/>
              <a:ea typeface="+mn-ea"/>
              <a:cs typeface="+mn-cs"/>
            </a:rPr>
            <a:t> löytyvät kolmelta eri välilehdeltä ja ne on </a:t>
          </a:r>
          <a:r>
            <a:rPr lang="en-US" sz="1100" baseline="0">
              <a:solidFill>
                <a:schemeClr val="dk1"/>
              </a:solidFill>
              <a:effectLst/>
              <a:latin typeface="+mn-lt"/>
              <a:ea typeface="+mn-ea"/>
              <a:cs typeface="+mn-cs"/>
            </a:rPr>
            <a:t>jaoteltu kolmeen pääkategoriaan:  </a:t>
          </a:r>
          <a:endParaRPr lang="en-GB">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Turvallinen ja toimintavarma,</a:t>
          </a:r>
          <a:endParaRPr lang="en-GB">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Kustannustehokas ja organisoitu</a:t>
          </a:r>
          <a:endParaRPr lang="en-GB">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Kestävä ja kehittyvä</a:t>
          </a:r>
        </a:p>
        <a:p>
          <a:pPr marL="171450" indent="-171450">
            <a:buFont typeface="Arial" panose="020B0604020202020204" pitchFamily="34" charset="0"/>
            <a:buChar char="•"/>
          </a:pPr>
          <a:endParaRPr lang="en-GB">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Näet </a:t>
          </a:r>
          <a:r>
            <a:rPr lang="fi-FI" sz="1100" b="1">
              <a:solidFill>
                <a:schemeClr val="dk1"/>
              </a:solidFill>
              <a:effectLst/>
              <a:latin typeface="+mn-lt"/>
              <a:ea typeface="+mn-ea"/>
              <a:cs typeface="+mn-cs"/>
            </a:rPr>
            <a:t>mustalla tekstillä</a:t>
          </a:r>
          <a:r>
            <a:rPr lang="fi-FI" sz="1100" b="1" baseline="0">
              <a:solidFill>
                <a:schemeClr val="dk1"/>
              </a:solidFill>
              <a:effectLst/>
              <a:latin typeface="+mn-lt"/>
              <a:ea typeface="+mn-ea"/>
              <a:cs typeface="+mn-cs"/>
            </a:rPr>
            <a:t> </a:t>
          </a:r>
          <a:r>
            <a:rPr lang="fi-FI" sz="1100">
              <a:solidFill>
                <a:schemeClr val="dk1"/>
              </a:solidFill>
              <a:effectLst/>
              <a:latin typeface="+mn-lt"/>
              <a:ea typeface="+mn-ea"/>
              <a:cs typeface="+mn-cs"/>
            </a:rPr>
            <a:t>kriteerit, jotka koskevat oman kokoluokkasi vesihuoltolaitosta. </a:t>
          </a:r>
          <a:r>
            <a:rPr lang="fi-FI" sz="1100" b="1">
              <a:solidFill>
                <a:schemeClr val="dk1"/>
              </a:solidFill>
              <a:effectLst/>
              <a:latin typeface="+mn-lt"/>
              <a:ea typeface="+mn-ea"/>
              <a:cs typeface="+mn-cs"/>
            </a:rPr>
            <a:t>Punaisella tekstillä </a:t>
          </a:r>
          <a:r>
            <a:rPr lang="fi-FI" sz="1100">
              <a:solidFill>
                <a:schemeClr val="dk1"/>
              </a:solidFill>
              <a:effectLst/>
              <a:latin typeface="+mn-lt"/>
              <a:ea typeface="+mn-ea"/>
              <a:cs typeface="+mn-cs"/>
            </a:rPr>
            <a:t>näet kriteerit, jotka koskevat kokoluokkaasi isompia vesihuoltolaitoksia tai ovat luokan 5 kriteereitä, mikä kuvaa erityisen hyvän vesihuollon tasoa. Vastaamalla ”kyllä” näihin kriteereihin, saat lisäpisteen. </a:t>
          </a:r>
          <a:r>
            <a:rPr lang="fi-FI" sz="1100" b="1">
              <a:solidFill>
                <a:schemeClr val="dk1"/>
              </a:solidFill>
              <a:effectLst/>
              <a:latin typeface="+mn-lt"/>
              <a:ea typeface="+mn-ea"/>
              <a:cs typeface="+mn-cs"/>
            </a:rPr>
            <a:t>Harmaalla tekstillä ja yliviivattuna </a:t>
          </a:r>
          <a:r>
            <a:rPr lang="fi-FI" sz="1100">
              <a:solidFill>
                <a:schemeClr val="dk1"/>
              </a:solidFill>
              <a:effectLst/>
              <a:latin typeface="+mn-lt"/>
              <a:ea typeface="+mn-ea"/>
              <a:cs typeface="+mn-cs"/>
            </a:rPr>
            <a:t>näet kriteerit,</a:t>
          </a:r>
          <a:r>
            <a:rPr lang="fi-FI" sz="1100" baseline="0">
              <a:solidFill>
                <a:schemeClr val="dk1"/>
              </a:solidFill>
              <a:effectLst/>
              <a:latin typeface="+mn-lt"/>
              <a:ea typeface="+mn-ea"/>
              <a:cs typeface="+mn-cs"/>
            </a:rPr>
            <a:t> jotka eivät koske teidän vesilaitostanne joko toimialan tai koon perusteella. </a:t>
          </a:r>
          <a:endParaRPr lang="en-GB" sz="11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(Voit halutessasi suodattaa näkymästä pois kysymykset, jotka eivät koske teidän laitostanne. Valitse tällöin sivun yläreunan valintalaatikosta </a:t>
          </a:r>
          <a:r>
            <a:rPr lang="en-GB" sz="1100" b="1" baseline="0">
              <a:solidFill>
                <a:schemeClr val="dk1"/>
              </a:solidFill>
              <a:effectLst/>
              <a:latin typeface="+mn-lt"/>
              <a:ea typeface="+mn-ea"/>
              <a:cs typeface="+mn-cs"/>
            </a:rPr>
            <a:t>"Näytä sivulla: Oman vesilaitoksen kysymykset"</a:t>
          </a:r>
          <a:r>
            <a:rPr lang="en-GB" sz="1100" b="0" baseline="0">
              <a:solidFill>
                <a:schemeClr val="dk1"/>
              </a:solidFill>
              <a:effectLst/>
              <a:latin typeface="+mn-lt"/>
              <a:ea typeface="+mn-ea"/>
              <a:cs typeface="+mn-cs"/>
            </a:rPr>
            <a:t>. Suodatuksen poisto kokonaan = paina valintalaatikon oikean yläkulman ikonia.)</a:t>
          </a:r>
          <a:endParaRPr lang="en-GB">
            <a:effectLst/>
          </a:endParaRPr>
        </a:p>
        <a:p>
          <a:pPr rtl="0"/>
          <a:endParaRPr lang="fi-FI" sz="1100" baseline="0">
            <a:solidFill>
              <a:schemeClr val="dk1"/>
            </a:solidFill>
            <a:effectLst/>
            <a:latin typeface="+mn-lt"/>
            <a:ea typeface="+mn-ea"/>
            <a:cs typeface="+mn-cs"/>
          </a:endParaRPr>
        </a:p>
        <a:p>
          <a:pPr rtl="0"/>
          <a:r>
            <a:rPr lang="fi-FI" sz="1100" b="1" baseline="0">
              <a:solidFill>
                <a:schemeClr val="dk1"/>
              </a:solidFill>
              <a:effectLst/>
              <a:latin typeface="+mn-lt"/>
              <a:ea typeface="+mn-ea"/>
              <a:cs typeface="+mn-cs"/>
            </a:rPr>
            <a:t>Vastausohje: </a:t>
          </a:r>
          <a:endParaRPr lang="en-GB" b="1">
            <a:effectLst/>
          </a:endParaRPr>
        </a:p>
        <a:p>
          <a:pPr marL="171450" indent="-171450" rtl="0">
            <a:buFont typeface="Arial" panose="020B0604020202020204" pitchFamily="34" charset="0"/>
            <a:buChar char="•"/>
          </a:pPr>
          <a:r>
            <a:rPr lang="fi-FI">
              <a:effectLst/>
            </a:rPr>
            <a:t>Vastaa ”</a:t>
          </a:r>
          <a:r>
            <a:rPr lang="fi-FI" b="1">
              <a:effectLst/>
            </a:rPr>
            <a:t>kyllä</a:t>
          </a:r>
          <a:r>
            <a:rPr lang="fi-FI">
              <a:effectLst/>
            </a:rPr>
            <a:t>”, kun kriteerikysymys kuvaa vesihuoltolaitoksesi tilannetta.</a:t>
          </a:r>
        </a:p>
        <a:p>
          <a:pPr marL="171450" indent="-171450" rtl="0">
            <a:buFont typeface="Arial" panose="020B0604020202020204" pitchFamily="34" charset="0"/>
            <a:buChar char="•"/>
          </a:pPr>
          <a:r>
            <a:rPr lang="fi-FI">
              <a:effectLst/>
            </a:rPr>
            <a:t>Vastaa ”</a:t>
          </a:r>
          <a:r>
            <a:rPr lang="fi-FI" b="1">
              <a:effectLst/>
            </a:rPr>
            <a:t>ei</a:t>
          </a:r>
          <a:r>
            <a:rPr lang="fi-FI">
              <a:effectLst/>
            </a:rPr>
            <a:t>”, mikäli kriteerikysymys ei kuvaa vesihuoltolaitoksesi tilannetta.</a:t>
          </a:r>
        </a:p>
        <a:p>
          <a:pPr marL="171450" indent="-171450" rtl="0">
            <a:buFont typeface="Arial" panose="020B0604020202020204" pitchFamily="34" charset="0"/>
            <a:buChar char="•"/>
          </a:pPr>
          <a:r>
            <a:rPr lang="fi-FI">
              <a:effectLst/>
            </a:rPr>
            <a:t>Vastaa ”</a:t>
          </a:r>
          <a:r>
            <a:rPr lang="fi-FI" b="1">
              <a:effectLst/>
            </a:rPr>
            <a:t>ei koske</a:t>
          </a:r>
          <a:r>
            <a:rPr lang="fi-FI">
              <a:effectLst/>
            </a:rPr>
            <a:t>”, jos kriteerikysymys ei ole koske vesihuoltolaitoksesi toimintaa.</a:t>
          </a:r>
        </a:p>
        <a:p>
          <a:pPr marL="171450" indent="-171450" rtl="0">
            <a:buFont typeface="Arial" panose="020B0604020202020204" pitchFamily="34" charset="0"/>
            <a:buChar char="•"/>
          </a:pPr>
          <a:endParaRPr lang="fi-FI" sz="1100" baseline="0">
            <a:solidFill>
              <a:schemeClr val="dk1"/>
            </a:solidFill>
            <a:effectLst/>
            <a:latin typeface="+mn-lt"/>
            <a:ea typeface="+mn-ea"/>
            <a:cs typeface="+mn-cs"/>
          </a:endParaRPr>
        </a:p>
        <a:p>
          <a:pPr marL="0" indent="0" rtl="0">
            <a:buFont typeface="Arial" panose="020B0604020202020204" pitchFamily="34" charset="0"/>
            <a:buNone/>
          </a:pPr>
          <a:r>
            <a:rPr lang="en-GB" sz="1100" baseline="0">
              <a:solidFill>
                <a:schemeClr val="dk1"/>
              </a:solidFill>
              <a:effectLst/>
              <a:latin typeface="+mn-lt"/>
              <a:ea typeface="+mn-ea"/>
              <a:cs typeface="+mn-cs"/>
            </a:rPr>
            <a:t>Voit kirjoittaa vastauksen vastauslaatikkoon tai valita hiirellä valmiista valintalaatikosta. Jos valmis valintalaatikko jostain syystä katoaa/ei näy, sinun pitäisi kuitenkin edelleen pystyä itse kirjoittamaan vastaus.</a:t>
          </a:r>
          <a:endParaRPr lang="en-GB">
            <a:effectLst/>
          </a:endParaRPr>
        </a:p>
        <a:p>
          <a:pPr marL="171450" indent="-171450" rtl="0">
            <a:buFont typeface="Arial" panose="020B0604020202020204" pitchFamily="34" charset="0"/>
            <a:buChar char="•"/>
          </a:pPr>
          <a:endParaRPr lang="fi-FI">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Huoltovarmuus-sarakkeessa oleva tähti kertoo kysymyksen liittyvän</a:t>
          </a:r>
          <a:r>
            <a:rPr lang="fi-FI" sz="1100" baseline="0">
              <a:solidFill>
                <a:schemeClr val="dk1"/>
              </a:solidFill>
              <a:effectLst/>
              <a:latin typeface="+mn-lt"/>
              <a:ea typeface="+mn-ea"/>
              <a:cs typeface="+mn-cs"/>
            </a:rPr>
            <a:t> huoltovarmuuteen.</a:t>
          </a:r>
          <a:endParaRPr lang="en-GB">
            <a:effectLst/>
          </a:endParaRPr>
        </a:p>
        <a:p>
          <a:pPr rtl="0"/>
          <a:r>
            <a:rPr lang="fi-FI" b="1">
              <a:effectLst/>
            </a:rPr>
            <a:t>Muista:</a:t>
          </a:r>
          <a:r>
            <a:rPr lang="fi-FI">
              <a:effectLst/>
            </a:rPr>
            <a:t> Huoltovarmuuskriteerit voivat tuoda esiin vesihuoltolaitoksen haavoittuvuuksia, joten kriteerikohtaiset tulokset ovat lähtökohtaisesti luottamuksellista tietoa, eikä niitä pidä esittää julkisesti.</a:t>
          </a:r>
        </a:p>
        <a:p>
          <a:pPr rtl="0"/>
          <a:endParaRPr lang="fi-FI">
            <a:effectLst/>
          </a:endParaRPr>
        </a:p>
        <a:p>
          <a:endParaRPr lang="en-US" sz="1100" baseline="0"/>
        </a:p>
        <a:p>
          <a:endParaRPr lang="en-US" sz="1100" baseline="0"/>
        </a:p>
        <a:p>
          <a:pPr marL="0" marR="0" lvl="0" indent="0" defTabSz="914400" rtl="0" eaLnBrk="1" fontAlgn="auto" latinLnBrk="0" hangingPunct="1">
            <a:lnSpc>
              <a:spcPct val="100000"/>
            </a:lnSpc>
            <a:spcBef>
              <a:spcPts val="0"/>
            </a:spcBef>
            <a:spcAft>
              <a:spcPts val="0"/>
            </a:spcAft>
            <a:buClrTx/>
            <a:buSzTx/>
            <a:buFontTx/>
            <a:buNone/>
            <a:tabLst/>
            <a:defRPr/>
          </a:pPr>
          <a:r>
            <a:rPr lang="fi-FI" sz="1600" b="1" baseline="0">
              <a:solidFill>
                <a:schemeClr val="dk1"/>
              </a:solidFill>
              <a:effectLst/>
              <a:latin typeface="+mn-lt"/>
              <a:ea typeface="+mn-ea"/>
              <a:cs typeface="+mn-cs"/>
            </a:rPr>
            <a:t>Tulokset</a:t>
          </a:r>
          <a:br>
            <a:rPr lang="fi-FI" sz="1100" b="1" baseline="0">
              <a:solidFill>
                <a:schemeClr val="dk1"/>
              </a:solidFill>
              <a:effectLst/>
              <a:latin typeface="+mn-lt"/>
              <a:ea typeface="+mn-ea"/>
              <a:cs typeface="+mn-cs"/>
            </a:rPr>
          </a:br>
          <a:r>
            <a:rPr lang="fi-FI" sz="1100" b="1" baseline="0">
              <a:solidFill>
                <a:schemeClr val="dk1"/>
              </a:solidFill>
              <a:effectLst/>
              <a:latin typeface="+mn-lt"/>
              <a:ea typeface="+mn-ea"/>
              <a:cs typeface="+mn-cs"/>
            </a:rPr>
            <a:t>Tulokset</a:t>
          </a:r>
          <a:r>
            <a:rPr lang="fi-FI" sz="1100" baseline="0">
              <a:solidFill>
                <a:schemeClr val="dk1"/>
              </a:solidFill>
              <a:effectLst/>
              <a:latin typeface="+mn-lt"/>
              <a:ea typeface="+mn-ea"/>
              <a:cs typeface="+mn-cs"/>
            </a:rPr>
            <a:t>-välilehdellä saat raportin tuloksista. Tulokset päivittyvät reaaliaikaisesti, joten voit katsoa tuloksia, vaikka kaikkiin kysymyksiin ei olisi vielä vastattu.</a:t>
          </a:r>
          <a:endParaRPr lang="en-GB">
            <a:effectLst/>
          </a:endParaRPr>
        </a:p>
        <a:p>
          <a:pPr rtl="0"/>
          <a:r>
            <a:rPr lang="fi-FI" sz="1100" b="1" baseline="0">
              <a:solidFill>
                <a:schemeClr val="dk1"/>
              </a:solidFill>
              <a:effectLst/>
              <a:latin typeface="+mn-lt"/>
              <a:ea typeface="+mn-ea"/>
              <a:cs typeface="+mn-cs"/>
            </a:rPr>
            <a:t>Korjattavaa</a:t>
          </a:r>
          <a:r>
            <a:rPr lang="fi-FI" sz="1100" baseline="0">
              <a:solidFill>
                <a:schemeClr val="dk1"/>
              </a:solidFill>
              <a:effectLst/>
              <a:latin typeface="+mn-lt"/>
              <a:ea typeface="+mn-ea"/>
              <a:cs typeface="+mn-cs"/>
            </a:rPr>
            <a:t>-välilehdeltä näet listauksen korjauskohteista, jotka tulivat kysymyksissä vastaan. </a:t>
          </a:r>
          <a:endParaRPr lang="en-GB">
            <a:effectLst/>
          </a:endParaRPr>
        </a:p>
        <a:p>
          <a:pPr rtl="0"/>
          <a:r>
            <a:rPr lang="fi-FI" sz="1100" b="1" baseline="0">
              <a:solidFill>
                <a:schemeClr val="dk1"/>
              </a:solidFill>
              <a:effectLst/>
              <a:latin typeface="+mn-lt"/>
              <a:ea typeface="+mn-ea"/>
              <a:cs typeface="+mn-cs"/>
            </a:rPr>
            <a:t>Koontisivu</a:t>
          </a:r>
          <a:r>
            <a:rPr lang="fi-FI" sz="1100" b="0" baseline="0">
              <a:solidFill>
                <a:schemeClr val="dk1"/>
              </a:solidFill>
              <a:effectLst/>
              <a:latin typeface="+mn-lt"/>
              <a:ea typeface="+mn-ea"/>
              <a:cs typeface="+mn-cs"/>
            </a:rPr>
            <a:t>-välilehdellä on koottuna kaikki vastaukset tarkemmalla datalla esim. konsulttien datakeruuta (ja heidän tekemäänsä yhteenvetoraporttia) varten. </a:t>
          </a:r>
          <a:endParaRPr lang="en-GB">
            <a:effectLst/>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200" b="1">
              <a:solidFill>
                <a:schemeClr val="dk1"/>
              </a:solidFill>
              <a:effectLst/>
              <a:latin typeface="+mn-lt"/>
              <a:ea typeface="+mn-ea"/>
              <a:cs typeface="+mn-cs"/>
            </a:rPr>
            <a:t>Tulosten</a:t>
          </a:r>
          <a:r>
            <a:rPr lang="en-US" sz="1200" b="1" baseline="0">
              <a:solidFill>
                <a:schemeClr val="dk1"/>
              </a:solidFill>
              <a:effectLst/>
              <a:latin typeface="+mn-lt"/>
              <a:ea typeface="+mn-ea"/>
              <a:cs typeface="+mn-cs"/>
            </a:rPr>
            <a:t> tallennus itsearvioinnin jälkeen</a:t>
          </a:r>
          <a:endParaRPr lang="en-GB" sz="1200">
            <a:effectLst/>
          </a:endParaRPr>
        </a:p>
        <a:p>
          <a:r>
            <a:rPr lang="en-US" sz="1100" b="0" baseline="0">
              <a:solidFill>
                <a:schemeClr val="dk1"/>
              </a:solidFill>
              <a:effectLst/>
              <a:latin typeface="+mn-lt"/>
              <a:ea typeface="+mn-ea"/>
              <a:cs typeface="+mn-cs"/>
            </a:rPr>
            <a:t>Kun olet valmis itsearviointilomakkeen kanssa, voit tallentaa tulokset sisältävän Excel-tiedoston itsellesi. Excel on oletusarvoisesti "Vain luku"-tilassa, jotta voit säilyttää alkuperäisen Excelin tyhjänä seuraavia arviointikertoja varten. </a:t>
          </a:r>
          <a:br>
            <a:rPr lang="en-US" sz="1100" b="0" baseline="0">
              <a:solidFill>
                <a:schemeClr val="dk1"/>
              </a:solidFill>
              <a:effectLst/>
              <a:latin typeface="+mn-lt"/>
              <a:ea typeface="+mn-ea"/>
              <a:cs typeface="+mn-cs"/>
            </a:rPr>
          </a:br>
          <a:br>
            <a:rPr lang="en-US" sz="1100" b="0" baseline="0">
              <a:solidFill>
                <a:schemeClr val="dk1"/>
              </a:solidFill>
              <a:effectLst/>
              <a:latin typeface="+mn-lt"/>
              <a:ea typeface="+mn-ea"/>
              <a:cs typeface="+mn-cs"/>
            </a:rPr>
          </a:br>
          <a:r>
            <a:rPr lang="en-US" sz="1100" b="0" baseline="0">
              <a:solidFill>
                <a:schemeClr val="dk1"/>
              </a:solidFill>
              <a:effectLst/>
              <a:latin typeface="+mn-lt"/>
              <a:ea typeface="+mn-ea"/>
              <a:cs typeface="+mn-cs"/>
            </a:rPr>
            <a:t>Tee tulosten tallennus seuraavasti: </a:t>
          </a:r>
          <a:endParaRPr lang="en-GB">
            <a:effectLst/>
          </a:endParaRPr>
        </a:p>
        <a:p>
          <a:r>
            <a:rPr lang="en-US" sz="1100" b="0" baseline="0">
              <a:solidFill>
                <a:schemeClr val="dk1"/>
              </a:solidFill>
              <a:effectLst/>
              <a:latin typeface="+mn-lt"/>
              <a:ea typeface="+mn-ea"/>
              <a:cs typeface="+mn-cs"/>
            </a:rPr>
            <a:t>1. </a:t>
          </a:r>
          <a:r>
            <a:rPr lang="fi-FI" sz="1100">
              <a:solidFill>
                <a:schemeClr val="dk1"/>
              </a:solidFill>
              <a:effectLst/>
              <a:latin typeface="+mn-lt"/>
              <a:ea typeface="+mn-ea"/>
              <a:cs typeface="+mn-cs"/>
            </a:rPr>
            <a:t>Napsauta ylävalikosta "Tiedosto" (File) ja valitse "Tallenna nimellä" (Save As).</a:t>
          </a:r>
          <a:endParaRPr lang="en-GB">
            <a:effectLst/>
          </a:endParaRPr>
        </a:p>
        <a:p>
          <a:r>
            <a:rPr lang="en-US" sz="1100" b="0" baseline="0">
              <a:solidFill>
                <a:schemeClr val="dk1"/>
              </a:solidFill>
              <a:effectLst/>
              <a:latin typeface="+mn-lt"/>
              <a:ea typeface="+mn-ea"/>
              <a:cs typeface="+mn-cs"/>
            </a:rPr>
            <a:t>2. "</a:t>
          </a:r>
          <a:r>
            <a:rPr lang="fi-FI" sz="1100">
              <a:solidFill>
                <a:schemeClr val="dk1"/>
              </a:solidFill>
              <a:effectLst/>
              <a:latin typeface="+mn-lt"/>
              <a:ea typeface="+mn-ea"/>
              <a:cs typeface="+mn-cs"/>
            </a:rPr>
            <a:t>Tallenna nimellä" -valikossa anna tulokset</a:t>
          </a:r>
          <a:r>
            <a:rPr lang="fi-FI" sz="1100" baseline="0">
              <a:solidFill>
                <a:schemeClr val="dk1"/>
              </a:solidFill>
              <a:effectLst/>
              <a:latin typeface="+mn-lt"/>
              <a:ea typeface="+mn-ea"/>
              <a:cs typeface="+mn-cs"/>
            </a:rPr>
            <a:t> sisältävälle </a:t>
          </a:r>
          <a:r>
            <a:rPr lang="fi-FI" sz="1100">
              <a:solidFill>
                <a:schemeClr val="dk1"/>
              </a:solidFill>
              <a:effectLst/>
              <a:latin typeface="+mn-lt"/>
              <a:ea typeface="+mn-ea"/>
              <a:cs typeface="+mn-cs"/>
            </a:rPr>
            <a:t>Excelille uusi nimi esimerkiksi liittämällä nimeen täyttöpäivämäärä "20260306_Itsearviointilomake".</a:t>
          </a:r>
          <a:endParaRPr lang="en-GB">
            <a:effectLst/>
          </a:endParaRPr>
        </a:p>
        <a:p>
          <a:r>
            <a:rPr lang="fi-FI" sz="1100">
              <a:solidFill>
                <a:schemeClr val="dk1"/>
              </a:solidFill>
              <a:effectLst/>
              <a:latin typeface="+mn-lt"/>
              <a:ea typeface="+mn-ea"/>
              <a:cs typeface="+mn-cs"/>
            </a:rPr>
            <a:t>4. Napsauta "Tallenna" (Save). Vahvista tallennus.</a:t>
          </a:r>
        </a:p>
        <a:p>
          <a:endParaRPr lang="fi-FI" sz="1100">
            <a:solidFill>
              <a:schemeClr val="dk1"/>
            </a:solidFill>
            <a:effectLst/>
            <a:latin typeface="+mn-lt"/>
            <a:ea typeface="+mn-ea"/>
            <a:cs typeface="+mn-cs"/>
          </a:endParaRPr>
        </a:p>
        <a:p>
          <a:endParaRPr lang="fi-FI" sz="1100">
            <a:solidFill>
              <a:schemeClr val="dk1"/>
            </a:solidFill>
            <a:effectLst/>
            <a:latin typeface="+mn-lt"/>
            <a:ea typeface="+mn-ea"/>
            <a:cs typeface="+mn-cs"/>
          </a:endParaRPr>
        </a:p>
        <a:p>
          <a:endParaRPr lang="fi-FI" sz="1100">
            <a:solidFill>
              <a:schemeClr val="dk1"/>
            </a:solidFill>
            <a:effectLst/>
            <a:latin typeface="+mn-lt"/>
            <a:ea typeface="+mn-ea"/>
            <a:cs typeface="+mn-cs"/>
          </a:endParaRPr>
        </a:p>
        <a:p>
          <a:r>
            <a:rPr lang="en-US" sz="1200" b="1" baseline="0"/>
            <a:t>Lisätietoa</a:t>
          </a:r>
          <a:r>
            <a:rPr lang="en-US" sz="1100" baseline="0"/>
            <a:t>: Hyvän vesihuollon kriteereistä lisätietoa ja ohjeita löytyy Vesilaitosyhdistyksen nettisivuilta kohdasta www.vesilaitosyhdistys.fi &gt; Kehittäminen ja tutkimus &gt; Hyvän vesihuollon kriteerit -työkalu</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22</xdr:col>
      <xdr:colOff>137160</xdr:colOff>
      <xdr:row>0</xdr:row>
      <xdr:rowOff>106680</xdr:rowOff>
    </xdr:from>
    <xdr:to>
      <xdr:col>27</xdr:col>
      <xdr:colOff>91440</xdr:colOff>
      <xdr:row>3</xdr:row>
      <xdr:rowOff>434340</xdr:rowOff>
    </xdr:to>
    <mc:AlternateContent xmlns:mc="http://schemas.openxmlformats.org/markup-compatibility/2006" xmlns:sle15="http://schemas.microsoft.com/office/drawing/2012/slicer">
      <mc:Choice Requires="sle15">
        <xdr:graphicFrame macro="">
          <xdr:nvGraphicFramePr>
            <xdr:cNvPr id="3" name="SeliteOsittajaan">
              <a:extLst>
                <a:ext uri="{FF2B5EF4-FFF2-40B4-BE49-F238E27FC236}">
                  <a16:creationId xmlns:a16="http://schemas.microsoft.com/office/drawing/2014/main" id="{3571B292-82A5-CB89-A8EC-54575335750E}"/>
                </a:ext>
              </a:extLst>
            </xdr:cNvPr>
            <xdr:cNvGraphicFramePr/>
          </xdr:nvGraphicFramePr>
          <xdr:xfrm>
            <a:off x="0" y="0"/>
            <a:ext cx="0" cy="0"/>
          </xdr:xfrm>
          <a:graphic>
            <a:graphicData uri="http://schemas.microsoft.com/office/drawing/2010/slicer">
              <sle:slicer xmlns:sle="http://schemas.microsoft.com/office/drawing/2010/slicer" name="SeliteOsittajaan"/>
            </a:graphicData>
          </a:graphic>
        </xdr:graphicFrame>
      </mc:Choice>
      <mc:Fallback xmlns="">
        <xdr:sp macro="" textlink="">
          <xdr:nvSpPr>
            <xdr:cNvPr id="0" name=""/>
            <xdr:cNvSpPr>
              <a:spLocks noTextEdit="1"/>
            </xdr:cNvSpPr>
          </xdr:nvSpPr>
          <xdr:spPr>
            <a:xfrm>
              <a:off x="10187940" y="106680"/>
              <a:ext cx="2964180" cy="102108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27</xdr:col>
      <xdr:colOff>228600</xdr:colOff>
      <xdr:row>0</xdr:row>
      <xdr:rowOff>38100</xdr:rowOff>
    </xdr:from>
    <xdr:to>
      <xdr:col>33</xdr:col>
      <xdr:colOff>457200</xdr:colOff>
      <xdr:row>3</xdr:row>
      <xdr:rowOff>563880</xdr:rowOff>
    </xdr:to>
    <xdr:sp macro="" textlink="">
      <xdr:nvSpPr>
        <xdr:cNvPr id="4" name="TextBox 3">
          <a:extLst>
            <a:ext uri="{FF2B5EF4-FFF2-40B4-BE49-F238E27FC236}">
              <a16:creationId xmlns:a16="http://schemas.microsoft.com/office/drawing/2014/main" id="{509AD87D-C0D9-2CBB-B53F-D914DE6756CC}"/>
            </a:ext>
          </a:extLst>
        </xdr:cNvPr>
        <xdr:cNvSpPr txBox="1"/>
      </xdr:nvSpPr>
      <xdr:spPr>
        <a:xfrm>
          <a:off x="13289280" y="38100"/>
          <a:ext cx="3840480" cy="1219200"/>
        </a:xfrm>
        <a:prstGeom prst="rect">
          <a:avLst/>
        </a:prstGeom>
        <a:solidFill>
          <a:srgbClr val="96E1FF">
            <a:alpha val="34902"/>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Pikaohje: </a:t>
          </a:r>
          <a:r>
            <a:rPr lang="en-GB" sz="1100"/>
            <a:t>Sivu näyttää oletuksena</a:t>
          </a:r>
          <a:r>
            <a:rPr lang="en-GB" sz="1100" baseline="0"/>
            <a:t> kaikki kriteerit/kysymykset. </a:t>
          </a:r>
        </a:p>
        <a:p>
          <a:r>
            <a:rPr lang="en-GB" sz="1100" baseline="0"/>
            <a:t>Kysymykset, jotka eivät koske teidän laitostanne, näkyvät yliviivattuina harmaalla fontilla. Jos haluat poistaa ylimääräiset kysymykset näkyvistä, valitse viereisestä valintalaatikosta </a:t>
          </a:r>
          <a:r>
            <a:rPr lang="en-GB" sz="1100" b="1" baseline="0"/>
            <a:t>"Näytä sivulla: Oman vesilaitoksen kysymykset"</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(Poista suodatus = paina valintalaatikon oikean yläkulman ikonia)</a:t>
          </a:r>
          <a:endParaRPr lang="en-GB">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22</xdr:col>
      <xdr:colOff>175260</xdr:colOff>
      <xdr:row>0</xdr:row>
      <xdr:rowOff>160020</xdr:rowOff>
    </xdr:from>
    <xdr:to>
      <xdr:col>27</xdr:col>
      <xdr:colOff>129540</xdr:colOff>
      <xdr:row>3</xdr:row>
      <xdr:rowOff>487680</xdr:rowOff>
    </xdr:to>
    <mc:AlternateContent xmlns:mc="http://schemas.openxmlformats.org/markup-compatibility/2006" xmlns:sle15="http://schemas.microsoft.com/office/drawing/2012/slicer">
      <mc:Choice Requires="sle15">
        <xdr:graphicFrame macro="">
          <xdr:nvGraphicFramePr>
            <xdr:cNvPr id="2" name="SeliteOsittajaan 1">
              <a:extLst>
                <a:ext uri="{FF2B5EF4-FFF2-40B4-BE49-F238E27FC236}">
                  <a16:creationId xmlns:a16="http://schemas.microsoft.com/office/drawing/2014/main" id="{62093AFE-3643-4DA4-ABED-B911842974FC}"/>
                </a:ext>
              </a:extLst>
            </xdr:cNvPr>
            <xdr:cNvGraphicFramePr/>
          </xdr:nvGraphicFramePr>
          <xdr:xfrm>
            <a:off x="0" y="0"/>
            <a:ext cx="0" cy="0"/>
          </xdr:xfrm>
          <a:graphic>
            <a:graphicData uri="http://schemas.microsoft.com/office/drawing/2010/slicer">
              <sle:slicer xmlns:sle="http://schemas.microsoft.com/office/drawing/2010/slicer" name="SeliteOsittajaan 1"/>
            </a:graphicData>
          </a:graphic>
        </xdr:graphicFrame>
      </mc:Choice>
      <mc:Fallback xmlns="">
        <xdr:sp macro="" textlink="">
          <xdr:nvSpPr>
            <xdr:cNvPr id="0" name=""/>
            <xdr:cNvSpPr>
              <a:spLocks noTextEdit="1"/>
            </xdr:cNvSpPr>
          </xdr:nvSpPr>
          <xdr:spPr>
            <a:xfrm>
              <a:off x="10226040" y="160020"/>
              <a:ext cx="2964180" cy="102108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27</xdr:col>
      <xdr:colOff>251460</xdr:colOff>
      <xdr:row>0</xdr:row>
      <xdr:rowOff>30480</xdr:rowOff>
    </xdr:from>
    <xdr:to>
      <xdr:col>33</xdr:col>
      <xdr:colOff>480060</xdr:colOff>
      <xdr:row>3</xdr:row>
      <xdr:rowOff>556260</xdr:rowOff>
    </xdr:to>
    <xdr:sp macro="" textlink="">
      <xdr:nvSpPr>
        <xdr:cNvPr id="4" name="TextBox 3">
          <a:extLst>
            <a:ext uri="{FF2B5EF4-FFF2-40B4-BE49-F238E27FC236}">
              <a16:creationId xmlns:a16="http://schemas.microsoft.com/office/drawing/2014/main" id="{6E23929D-0AB3-490B-B0E8-868F47E9D6A8}"/>
            </a:ext>
          </a:extLst>
        </xdr:cNvPr>
        <xdr:cNvSpPr txBox="1"/>
      </xdr:nvSpPr>
      <xdr:spPr>
        <a:xfrm>
          <a:off x="13312140" y="30480"/>
          <a:ext cx="3840480" cy="1219200"/>
        </a:xfrm>
        <a:prstGeom prst="rect">
          <a:avLst/>
        </a:prstGeom>
        <a:solidFill>
          <a:srgbClr val="96E1FF">
            <a:alpha val="34902"/>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Ohje: </a:t>
          </a:r>
          <a:r>
            <a:rPr lang="en-GB" sz="1100"/>
            <a:t>Sivu näyttää oletuksena</a:t>
          </a:r>
          <a:r>
            <a:rPr lang="en-GB" sz="1100" baseline="0"/>
            <a:t> kaikki kriteerit/kysymykset. </a:t>
          </a:r>
        </a:p>
        <a:p>
          <a:r>
            <a:rPr lang="en-GB" sz="1100" baseline="0"/>
            <a:t>Kysymykset, jotka eivät koske teidän laitostanne, näkyvät yliviivattuina harmaalla fontilla. Jos haluat poistaa ylimääräiset kysymykset näkyvistä, valitse viereisestä valintalaatikosta </a:t>
          </a:r>
          <a:r>
            <a:rPr lang="en-GB" sz="1100" b="1" baseline="0"/>
            <a:t>"Näytä sivulla: Oman vesilaitoksen kysymykset"</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(Poista suodatus = paina valintalaatikon oikean yläkulman ikonia)</a:t>
          </a:r>
          <a:endParaRPr lang="en-GB">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22</xdr:col>
      <xdr:colOff>182880</xdr:colOff>
      <xdr:row>0</xdr:row>
      <xdr:rowOff>152400</xdr:rowOff>
    </xdr:from>
    <xdr:to>
      <xdr:col>27</xdr:col>
      <xdr:colOff>137160</xdr:colOff>
      <xdr:row>3</xdr:row>
      <xdr:rowOff>480060</xdr:rowOff>
    </xdr:to>
    <mc:AlternateContent xmlns:mc="http://schemas.openxmlformats.org/markup-compatibility/2006" xmlns:sle15="http://schemas.microsoft.com/office/drawing/2012/slicer">
      <mc:Choice Requires="sle15">
        <xdr:graphicFrame macro="">
          <xdr:nvGraphicFramePr>
            <xdr:cNvPr id="2" name="SeliteOsittajaan 2">
              <a:extLst>
                <a:ext uri="{FF2B5EF4-FFF2-40B4-BE49-F238E27FC236}">
                  <a16:creationId xmlns:a16="http://schemas.microsoft.com/office/drawing/2014/main" id="{764A2908-FBA3-4D2D-965B-54873736A107}"/>
                </a:ext>
              </a:extLst>
            </xdr:cNvPr>
            <xdr:cNvGraphicFramePr/>
          </xdr:nvGraphicFramePr>
          <xdr:xfrm>
            <a:off x="0" y="0"/>
            <a:ext cx="0" cy="0"/>
          </xdr:xfrm>
          <a:graphic>
            <a:graphicData uri="http://schemas.microsoft.com/office/drawing/2010/slicer">
              <sle:slicer xmlns:sle="http://schemas.microsoft.com/office/drawing/2010/slicer" name="SeliteOsittajaan 2"/>
            </a:graphicData>
          </a:graphic>
        </xdr:graphicFrame>
      </mc:Choice>
      <mc:Fallback xmlns="">
        <xdr:sp macro="" textlink="">
          <xdr:nvSpPr>
            <xdr:cNvPr id="0" name=""/>
            <xdr:cNvSpPr>
              <a:spLocks noTextEdit="1"/>
            </xdr:cNvSpPr>
          </xdr:nvSpPr>
          <xdr:spPr>
            <a:xfrm>
              <a:off x="10233660" y="152400"/>
              <a:ext cx="2964180" cy="102108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27</xdr:col>
      <xdr:colOff>266700</xdr:colOff>
      <xdr:row>0</xdr:row>
      <xdr:rowOff>30480</xdr:rowOff>
    </xdr:from>
    <xdr:to>
      <xdr:col>33</xdr:col>
      <xdr:colOff>495300</xdr:colOff>
      <xdr:row>3</xdr:row>
      <xdr:rowOff>556260</xdr:rowOff>
    </xdr:to>
    <xdr:sp macro="" textlink="">
      <xdr:nvSpPr>
        <xdr:cNvPr id="6" name="TextBox 5">
          <a:extLst>
            <a:ext uri="{FF2B5EF4-FFF2-40B4-BE49-F238E27FC236}">
              <a16:creationId xmlns:a16="http://schemas.microsoft.com/office/drawing/2014/main" id="{EEF133ED-CEB6-4D5A-AEFF-884814170EDC}"/>
            </a:ext>
          </a:extLst>
        </xdr:cNvPr>
        <xdr:cNvSpPr txBox="1"/>
      </xdr:nvSpPr>
      <xdr:spPr>
        <a:xfrm>
          <a:off x="13327380" y="30480"/>
          <a:ext cx="3840480" cy="1219200"/>
        </a:xfrm>
        <a:prstGeom prst="rect">
          <a:avLst/>
        </a:prstGeom>
        <a:solidFill>
          <a:srgbClr val="96E1FF">
            <a:alpha val="34902"/>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Ohje: </a:t>
          </a:r>
          <a:r>
            <a:rPr lang="en-GB" sz="1100"/>
            <a:t>Sivu näyttää oletuksena</a:t>
          </a:r>
          <a:r>
            <a:rPr lang="en-GB" sz="1100" baseline="0"/>
            <a:t> kaikki kriteerit/kysymykset. </a:t>
          </a:r>
        </a:p>
        <a:p>
          <a:r>
            <a:rPr lang="en-GB" sz="1100" baseline="0"/>
            <a:t>Kysymykset, jotka eivät koske teidän laitostanne, näkyvät yliviivattuina harmaalla fontilla. Jos haluat poistaa ylimääräiset kysymykset näkyvistä, valitse viereisestä valintalaatikosta </a:t>
          </a:r>
          <a:r>
            <a:rPr lang="en-GB" sz="1100" b="1" baseline="0"/>
            <a:t>"Näytä sivulla: Oman vesilaitoksen kysymykset"</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(Poista suodatus = paina valintalaatikon oikean yläkulman ikonia)</a:t>
          </a:r>
          <a:endParaRPr lang="en-GB">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14</xdr:row>
      <xdr:rowOff>87630</xdr:rowOff>
    </xdr:from>
    <xdr:to>
      <xdr:col>10</xdr:col>
      <xdr:colOff>15240</xdr:colOff>
      <xdr:row>38</xdr:row>
      <xdr:rowOff>152400</xdr:rowOff>
    </xdr:to>
    <xdr:graphicFrame macro="">
      <xdr:nvGraphicFramePr>
        <xdr:cNvPr id="3" name="Chart 2">
          <a:extLst>
            <a:ext uri="{FF2B5EF4-FFF2-40B4-BE49-F238E27FC236}">
              <a16:creationId xmlns:a16="http://schemas.microsoft.com/office/drawing/2014/main" id="{B3648133-A3AA-7B84-A512-6A97EFB538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15240</xdr:colOff>
      <xdr:row>18</xdr:row>
      <xdr:rowOff>22860</xdr:rowOff>
    </xdr:from>
    <xdr:to>
      <xdr:col>17</xdr:col>
      <xdr:colOff>53341</xdr:colOff>
      <xdr:row>22</xdr:row>
      <xdr:rowOff>7620</xdr:rowOff>
    </xdr:to>
    <xdr:sp macro="" textlink="">
      <xdr:nvSpPr>
        <xdr:cNvPr id="2" name="TextBox 1">
          <a:extLst>
            <a:ext uri="{FF2B5EF4-FFF2-40B4-BE49-F238E27FC236}">
              <a16:creationId xmlns:a16="http://schemas.microsoft.com/office/drawing/2014/main" id="{13D6C784-44D6-4400-9C3E-747A19175441}"/>
            </a:ext>
          </a:extLst>
        </xdr:cNvPr>
        <xdr:cNvSpPr txBox="1"/>
      </xdr:nvSpPr>
      <xdr:spPr>
        <a:xfrm>
          <a:off x="8496300" y="4168140"/>
          <a:ext cx="5273041" cy="71628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i="0" u="none" strike="noStrike">
              <a:solidFill>
                <a:schemeClr val="dk1"/>
              </a:solidFill>
              <a:effectLst/>
              <a:latin typeface="+mn-lt"/>
              <a:ea typeface="+mn-ea"/>
              <a:cs typeface="+mn-cs"/>
            </a:rPr>
            <a:t>*Jokainen kriteeri, jossa vesilaitos täyttää omaa luokkaansa tiukemman kriteerin, kompensoi yhden omassa luokassa olevan täyttymättömän kriteerin (ei koske 1-luokan laitoksia).</a:t>
          </a:r>
        </a:p>
      </xdr:txBody>
    </xdr:sp>
    <xdr:clientData/>
  </xdr:twoCellAnchor>
  <xdr:twoCellAnchor>
    <xdr:from>
      <xdr:col>1</xdr:col>
      <xdr:colOff>7620</xdr:colOff>
      <xdr:row>18</xdr:row>
      <xdr:rowOff>19050</xdr:rowOff>
    </xdr:from>
    <xdr:to>
      <xdr:col>9</xdr:col>
      <xdr:colOff>7620</xdr:colOff>
      <xdr:row>42</xdr:row>
      <xdr:rowOff>114300</xdr:rowOff>
    </xdr:to>
    <xdr:graphicFrame macro="">
      <xdr:nvGraphicFramePr>
        <xdr:cNvPr id="3" name="Chart 2">
          <a:extLst>
            <a:ext uri="{FF2B5EF4-FFF2-40B4-BE49-F238E27FC236}">
              <a16:creationId xmlns:a16="http://schemas.microsoft.com/office/drawing/2014/main" id="{9A8BF81C-F0B5-4898-8074-4109FD965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114300</xdr:rowOff>
    </xdr:from>
    <xdr:to>
      <xdr:col>17</xdr:col>
      <xdr:colOff>7620</xdr:colOff>
      <xdr:row>10</xdr:row>
      <xdr:rowOff>152400</xdr:rowOff>
    </xdr:to>
    <xdr:sp macro="" textlink="">
      <xdr:nvSpPr>
        <xdr:cNvPr id="4" name="TextBox 3">
          <a:extLst>
            <a:ext uri="{FF2B5EF4-FFF2-40B4-BE49-F238E27FC236}">
              <a16:creationId xmlns:a16="http://schemas.microsoft.com/office/drawing/2014/main" id="{709CC5BC-3D07-FE45-7CB3-CD3A30859228}"/>
            </a:ext>
          </a:extLst>
        </xdr:cNvPr>
        <xdr:cNvSpPr txBox="1"/>
      </xdr:nvSpPr>
      <xdr:spPr>
        <a:xfrm>
          <a:off x="8481060" y="624840"/>
          <a:ext cx="5242560" cy="212598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OHJE</a:t>
          </a:r>
          <a:br>
            <a:rPr lang="en-GB" sz="1100"/>
          </a:br>
          <a:r>
            <a:rPr lang="en-GB" sz="1100" b="0"/>
            <a:t>Tällä sivulla näet vastaustesi tulokset.</a:t>
          </a:r>
          <a:r>
            <a:rPr lang="en-GB" sz="1100" b="0" baseline="0"/>
            <a:t> Tulokset päivittyvät sitä mukaa, kun vastaat kriteerikysymyksiin</a:t>
          </a:r>
          <a:r>
            <a:rPr lang="en-GB" sz="1100" b="1" baseline="0"/>
            <a:t>. </a:t>
          </a:r>
          <a:r>
            <a:rPr lang="en-GB" sz="1100" baseline="0"/>
            <a:t>Yksi Kyllä-vastaus = yksi piste. </a:t>
          </a:r>
        </a:p>
        <a:p>
          <a:endParaRPr lang="en-GB" sz="1100" baseline="0"/>
        </a:p>
        <a:p>
          <a:r>
            <a:rPr lang="en-GB" sz="1100" baseline="0"/>
            <a:t>Tulostaulukossa näet prosentteina ja pisteinä (yksi piste = yksi kriteeri), miten hyvin kriteerit laitoksessanne täyttyvät (maksimipisteet = kaikki laitostanne koskevat kriteerit yhteensä).</a:t>
          </a:r>
        </a:p>
        <a:p>
          <a:endParaRPr lang="en-GB" sz="1100" baseline="0"/>
        </a:p>
        <a:p>
          <a:r>
            <a:rPr lang="en-GB" sz="1100" baseline="0"/>
            <a:t>Huom! Kriteeri täyttyy -prosentti voi olla yli 100 %, jos olet vastannut "Kyllä" myös omaa laitostanne tiukempiin "Extra"-kriteereihin. (Ei koske 1-luokan laitoksia.)</a:t>
          </a:r>
        </a:p>
        <a:p>
          <a:endParaRPr lang="en-GB" sz="1100" baseline="0"/>
        </a:p>
        <a:p>
          <a:r>
            <a:rPr lang="en-GB" sz="1100" baseline="0"/>
            <a:t>Alla näet </a:t>
          </a:r>
          <a:r>
            <a:rPr lang="en-GB" sz="1100" b="1" baseline="0"/>
            <a:t>arvosteluasteikon</a:t>
          </a:r>
          <a:r>
            <a:rPr lang="en-GB" sz="1100" baseline="0"/>
            <a:t>. </a:t>
          </a:r>
          <a:endParaRPr lang="en-GB" sz="1100"/>
        </a:p>
      </xdr:txBody>
    </xdr:sp>
    <xdr:clientData/>
  </xdr:twoCellAnchor>
  <xdr:twoCellAnchor>
    <xdr:from>
      <xdr:col>1</xdr:col>
      <xdr:colOff>198120</xdr:colOff>
      <xdr:row>3</xdr:row>
      <xdr:rowOff>91440</xdr:rowOff>
    </xdr:from>
    <xdr:to>
      <xdr:col>3</xdr:col>
      <xdr:colOff>792480</xdr:colOff>
      <xdr:row>4</xdr:row>
      <xdr:rowOff>304800</xdr:rowOff>
    </xdr:to>
    <xdr:sp macro="" textlink="">
      <xdr:nvSpPr>
        <xdr:cNvPr id="5" name="TextBox 4">
          <a:extLst>
            <a:ext uri="{FF2B5EF4-FFF2-40B4-BE49-F238E27FC236}">
              <a16:creationId xmlns:a16="http://schemas.microsoft.com/office/drawing/2014/main" id="{96D34F37-51F9-DF31-8B93-20B892AE1D21}"/>
            </a:ext>
          </a:extLst>
        </xdr:cNvPr>
        <xdr:cNvSpPr txBox="1"/>
      </xdr:nvSpPr>
      <xdr:spPr>
        <a:xfrm>
          <a:off x="807720" y="792480"/>
          <a:ext cx="2865120"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13374B"/>
              </a:solidFill>
            </a:rPr>
            <a:t>Hyvän vesihuollon kriteerit</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8</xdr:col>
      <xdr:colOff>129540</xdr:colOff>
      <xdr:row>0</xdr:row>
      <xdr:rowOff>91441</xdr:rowOff>
    </xdr:from>
    <xdr:to>
      <xdr:col>11</xdr:col>
      <xdr:colOff>68580</xdr:colOff>
      <xdr:row>5</xdr:row>
      <xdr:rowOff>83821</xdr:rowOff>
    </xdr:to>
    <mc:AlternateContent xmlns:mc="http://schemas.openxmlformats.org/markup-compatibility/2006" xmlns:sle15="http://schemas.microsoft.com/office/drawing/2012/slicer">
      <mc:Choice Requires="sle15">
        <xdr:graphicFrame macro="">
          <xdr:nvGraphicFramePr>
            <xdr:cNvPr id="2" name="Näytetäänkö rivi?">
              <a:extLst>
                <a:ext uri="{FF2B5EF4-FFF2-40B4-BE49-F238E27FC236}">
                  <a16:creationId xmlns:a16="http://schemas.microsoft.com/office/drawing/2014/main" id="{BC38A973-26F7-1F5A-6194-F30C61C182C4}"/>
                </a:ext>
              </a:extLst>
            </xdr:cNvPr>
            <xdr:cNvGraphicFramePr/>
          </xdr:nvGraphicFramePr>
          <xdr:xfrm>
            <a:off x="0" y="0"/>
            <a:ext cx="0" cy="0"/>
          </xdr:xfrm>
          <a:graphic>
            <a:graphicData uri="http://schemas.microsoft.com/office/drawing/2010/slicer">
              <sle:slicer xmlns:sle="http://schemas.microsoft.com/office/drawing/2010/slicer" name="Näytetäänkö rivi?"/>
            </a:graphicData>
          </a:graphic>
        </xdr:graphicFrame>
      </mc:Choice>
      <mc:Fallback xmlns="">
        <xdr:sp macro="" textlink="">
          <xdr:nvSpPr>
            <xdr:cNvPr id="0" name=""/>
            <xdr:cNvSpPr>
              <a:spLocks noTextEdit="1"/>
            </xdr:cNvSpPr>
          </xdr:nvSpPr>
          <xdr:spPr>
            <a:xfrm>
              <a:off x="14653260" y="91441"/>
              <a:ext cx="1828800" cy="102108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absolute">
    <xdr:from>
      <xdr:col>8</xdr:col>
      <xdr:colOff>91440</xdr:colOff>
      <xdr:row>0</xdr:row>
      <xdr:rowOff>53340</xdr:rowOff>
    </xdr:from>
    <xdr:to>
      <xdr:col>11</xdr:col>
      <xdr:colOff>129540</xdr:colOff>
      <xdr:row>5</xdr:row>
      <xdr:rowOff>91440</xdr:rowOff>
    </xdr:to>
    <mc:AlternateContent xmlns:mc="http://schemas.openxmlformats.org/markup-compatibility/2006" xmlns:sle15="http://schemas.microsoft.com/office/drawing/2012/slicer">
      <mc:Choice Requires="sle15">
        <xdr:graphicFrame macro="">
          <xdr:nvGraphicFramePr>
            <xdr:cNvPr id="7" name="Onko korjattavaa?">
              <a:extLst>
                <a:ext uri="{FF2B5EF4-FFF2-40B4-BE49-F238E27FC236}">
                  <a16:creationId xmlns:a16="http://schemas.microsoft.com/office/drawing/2014/main" id="{EB8AF9C8-656A-2576-5656-BA3F5FB95224}"/>
                </a:ext>
              </a:extLst>
            </xdr:cNvPr>
            <xdr:cNvGraphicFramePr/>
          </xdr:nvGraphicFramePr>
          <xdr:xfrm>
            <a:off x="0" y="0"/>
            <a:ext cx="0" cy="0"/>
          </xdr:xfrm>
          <a:graphic>
            <a:graphicData uri="http://schemas.microsoft.com/office/drawing/2010/slicer">
              <sle:slicer xmlns:sle="http://schemas.microsoft.com/office/drawing/2010/slicer" name="Onko korjattavaa?"/>
            </a:graphicData>
          </a:graphic>
        </xdr:graphicFrame>
      </mc:Choice>
      <mc:Fallback xmlns="">
        <xdr:sp macro="" textlink="">
          <xdr:nvSpPr>
            <xdr:cNvPr id="0" name=""/>
            <xdr:cNvSpPr>
              <a:spLocks noTextEdit="1"/>
            </xdr:cNvSpPr>
          </xdr:nvSpPr>
          <xdr:spPr>
            <a:xfrm>
              <a:off x="12923520" y="53340"/>
              <a:ext cx="1927860" cy="10668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uluuko_kriteeri_kyseisen_laitoksen_vastattavaksi" xr10:uid="{CE15D523-6F57-4B6A-8CF9-8A6A344F0AD6}" sourceName="Kuuluuko kriteeri kyseisen laitoksen vastattavaksi">
  <extLst>
    <x:ext xmlns:x15="http://schemas.microsoft.com/office/spreadsheetml/2010/11/main" uri="{2F2917AC-EB37-4324-AD4E-5DD8C200BD13}">
      <x15:tableSlicerCache tableId="4"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lakategoria" xr10:uid="{D7933891-A409-4019-BD2D-3A5BF0E51DFD}" sourceName="Alakategoria">
  <extLst>
    <x:ext xmlns:x15="http://schemas.microsoft.com/office/spreadsheetml/2010/11/main" uri="{2F2917AC-EB37-4324-AD4E-5DD8C200BD13}">
      <x15:tableSlicerCache tableId="4"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äytetäänkö_rivi?" xr10:uid="{8DD49D43-046C-4221-9632-8D65F4BA6162}" sourceName="Onko korjattavaa?">
  <extLst>
    <x:ext xmlns:x15="http://schemas.microsoft.com/office/spreadsheetml/2010/11/main" uri="{2F2917AC-EB37-4324-AD4E-5DD8C200BD13}">
      <x15:tableSlicerCache tableId="5"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iteOsittajaan" xr10:uid="{29FF20B1-19E1-4782-AA59-1FDB53EF5C5A}" sourceName="SeliteOsittajaan">
  <extLst>
    <x:ext xmlns:x15="http://schemas.microsoft.com/office/spreadsheetml/2010/11/main" uri="{2F2917AC-EB37-4324-AD4E-5DD8C200BD13}">
      <x15:tableSlicerCache tableId="2" column="1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iteOsittajaan1" xr10:uid="{C49DA1D4-D33A-4B86-9757-51B38032FDF5}" sourceName="SeliteOsittajaan">
  <extLst>
    <x:ext xmlns:x15="http://schemas.microsoft.com/office/spreadsheetml/2010/11/main" uri="{2F2917AC-EB37-4324-AD4E-5DD8C200BD13}">
      <x15:tableSlicerCache tableId="7" column="17"/>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iteOsittajaan11" xr10:uid="{E3A4CB1C-E751-454B-AC2D-3BAC01D13F22}" sourceName="SeliteOsittajaan">
  <extLst>
    <x:ext xmlns:x15="http://schemas.microsoft.com/office/spreadsheetml/2010/11/main" uri="{2F2917AC-EB37-4324-AD4E-5DD8C200BD13}">
      <x15:tableSlicerCache tableId="8" column="17"/>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uluuko_kriteeri_kyseisen_laitoksen_vastattavaksi1" xr10:uid="{494D5558-BDD8-41DE-803C-E98C6EE90BC8}" sourceName="Kuuluuko kriteeri kyseisen laitoksen vastattavaksi">
  <extLst>
    <x:ext xmlns:x15="http://schemas.microsoft.com/office/spreadsheetml/2010/11/main" uri="{2F2917AC-EB37-4324-AD4E-5DD8C200BD13}">
      <x15:tableSlicerCache tableId="9"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lakategoria1" xr10:uid="{DEFAEEDF-32F2-4EF1-960F-87207EE7C1A7}" sourceName="Alakategoria">
  <extLst>
    <x:ext xmlns:x15="http://schemas.microsoft.com/office/spreadsheetml/2010/11/main" uri="{2F2917AC-EB37-4324-AD4E-5DD8C200BD13}">
      <x15:tableSlicerCache tableId="9" column="6"/>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nko_korjattavaa?" xr10:uid="{9ADAB777-E178-455E-AC6E-90BD59115E35}" sourceName="Onko korjattavaa?">
  <extLst>
    <x:ext xmlns:x15="http://schemas.microsoft.com/office/spreadsheetml/2010/11/main" uri="{2F2917AC-EB37-4324-AD4E-5DD8C200BD13}">
      <x15:tableSlicerCache tableId="3" column="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iteOsittajaan" xr10:uid="{F785B9DE-8D53-4B64-8506-0658F881FEFD}" cache="Slicer_SeliteOsittajaan" caption="Näytä sivulla:"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iteOsittajaan 1" xr10:uid="{5BCCF973-BA3D-480B-A037-E8F3B14412C6}" cache="Slicer_SeliteOsittajaan1" caption="Näytä sivulla:"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iteOsittajaan 2" xr10:uid="{A051A249-6584-4BA7-AE28-0886A4E6DF47}" cache="Slicer_SeliteOsittajaan11" caption="Näytä sivulla:"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äytetäänkö rivi?" xr10:uid="{31EDF2C6-84C3-4608-9B4C-72679E63DAA6}" cache="Slicer_Näytetäänkö_rivi?" caption="Onko korjattavaa?" rowHeight="2476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nko korjattavaa?" xr10:uid="{D8D16F79-C959-4904-8003-1143F3F994AE}" cache="Slicer_Onko_korjattavaa?" caption="Onko korjattavaa?" rowHeight="2476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uuluuko kriteeri kyseisen laitoksen vastattavaksi 1" xr10:uid="{6776E74D-9155-40AD-9F1D-3246D8217906}" cache="Slicer_Kuuluuko_kriteeri_kyseisen_laitoksen_vastattavaksi1" caption="Kuuluuko kriteeri kyseisen laitoksen vastattavaksi" rowHeight="247650"/>
  <slicer name="Alakategoria 1" xr10:uid="{05232BB5-3A5B-4745-9381-297780A49980}" cache="Slicer_Alakategoria1" caption="Suodatetaan otsikkorivit piiloon alakategoria-sarakkeen avulla" rowHeight="2476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uuluuko kriteeri kyseisen laitoksen vastattavaksi" xr10:uid="{74CFE806-9576-4E02-AD18-84971F2C275B}" cache="Slicer_Kuuluuko_kriteeri_kyseisen_laitoksen_vastattavaksi" caption="Kuuluuko kriteeri kyseisen laitoksen vastattavaksi" rowHeight="247650"/>
  <slicer name="Alakategoria" xr10:uid="{D1A9B67D-A7B7-4653-8A4C-ED6B98EF6C1D}" cache="Slicer_Alakategoria" caption="Suodatetaan otsikkorivit piiloon alakategoria-sarakkeen avulla"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34C5D-5C14-4384-BE50-A7D2B2F9255B}" name="Vastausvaihtoehdot" displayName="Vastausvaihtoehdot" ref="B29:B32" totalsRowShown="0" headerRowDxfId="178">
  <autoFilter ref="B29:B32" xr:uid="{87334C5D-5C14-4384-BE50-A7D2B2F9255B}"/>
  <tableColumns count="1">
    <tableColumn id="1" xr3:uid="{11921D7A-E7B6-4AC3-AB4D-8EC07DFCB722}" name="Vastausvaihtoehdo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26C62D-9597-4243-8B48-2A70AF302A7A}" name="KysymyspankkiTaulukko" displayName="KysymyspankkiTaulukko" ref="A1:F133" totalsRowShown="0" headerRowDxfId="177" dataDxfId="176">
  <autoFilter ref="A1:F133" xr:uid="{5A26C62D-9597-4243-8B48-2A70AF302A7A}"/>
  <tableColumns count="6">
    <tableColumn id="1" xr3:uid="{C75119BC-DE69-459F-B5CE-A90DAE7F8464}" name="Luokka" dataDxfId="175" totalsRowDxfId="174"/>
    <tableColumn id="4" xr3:uid="{89CC401D-1AC1-4F84-B89C-B0EFE7609CD6}" name="Pääkategoria" dataDxfId="173" totalsRowDxfId="172"/>
    <tableColumn id="5" xr3:uid="{329F6478-B535-4967-82BE-8816899EC40C}" name="Kategoria" dataDxfId="171" totalsRowDxfId="170"/>
    <tableColumn id="2" xr3:uid="{424A2237-5340-4F9C-B735-FD509759142A}" name="Teksti" dataDxfId="169" totalsRowDxfId="168"/>
    <tableColumn id="3" xr3:uid="{922DE34C-4CD6-485D-86B2-A73550A0B93A}" name="Toimiala" dataDxfId="167" totalsRowDxfId="166"/>
    <tableColumn id="6" xr3:uid="{B39C40CC-1C40-4E12-AA97-1173DE46C857}" name="Huoltovarmuus" dataDxfId="165" totalsRowDxfId="16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58E016-CDCA-4ABB-83DC-5F97BEE11B84}" name="KysymyksetTaulukko" displayName="KysymyksetTaulukko" ref="A4:V70" totalsRowShown="0" headerRowDxfId="163" dataDxfId="162">
  <autoFilter ref="A4:V70" xr:uid="{5A26C62D-9597-4243-8B48-2A70AF302A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62A18800-2411-4AD7-84EC-5413DAB654CD}" name="Kysymyk-sen _x000a_Luokka" dataDxfId="161" totalsRowDxfId="160"/>
    <tableColumn id="14" xr3:uid="{61715BFE-D332-4488-A6BB-7D98FB897B5B}" name="Luokka" dataDxfId="159" totalsRowDxfId="158">
      <calculatedColumnFormula>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calculatedColumnFormula>
    </tableColumn>
    <tableColumn id="3" xr3:uid="{7B17E6F7-87A2-4007-BED4-354641C855FD}" name="Kysymyksen _x000a_Toimiala" dataDxfId="157" totalsRowDxfId="156"/>
    <tableColumn id="9" xr3:uid="{8DDF810C-9297-42EF-8B23-A7A40B1B426C}" name="Toimiala A" dataDxfId="155">
      <calculatedColumnFormula>IF(ISNUMBER(SEARCH(LV!$I$5, Turvallinen_ja_toimintavarma!C5)), "K", "E")</calculatedColumnFormula>
    </tableColumn>
    <tableColumn id="10" xr3:uid="{039786CD-C839-492A-8BD5-F17EBD690458}" name="Toimiala B" dataDxfId="154" totalsRowDxfId="153">
      <calculatedColumnFormula>IF(ISNUMBER(SEARCH(LV!$I$6, Turvallinen_ja_toimintavarma!$C5)), "K", "E")</calculatedColumnFormula>
    </tableColumn>
    <tableColumn id="11" xr3:uid="{02EA7A95-AD89-40E0-83A9-2468E5915D7F}" name="Toimiala C" dataDxfId="152" totalsRowDxfId="151">
      <calculatedColumnFormula>IF(ISNUMBER(SEARCH(LV!$I$7, Turvallinen_ja_toimintavarma!$C5)), "K", "E")</calculatedColumnFormula>
    </tableColumn>
    <tableColumn id="12" xr3:uid="{B09F302B-C347-4BA1-892F-3372FB49AB8F}" name="Toimiala D" dataDxfId="150" totalsRowDxfId="149">
      <calculatedColumnFormula>IF(ISNUMBER(SEARCH(LV!$I$8, Turvallinen_ja_toimintavarma!$C5)), "K", "E")</calculatedColumnFormula>
    </tableColumn>
    <tableColumn id="13" xr3:uid="{5F2453B6-D056-4C92-8430-70B6263BB86C}" name="Toimiala-_x000a_kysymys" dataDxfId="148" totalsRowDxfId="147">
      <calculatedColumnFormula>IF(OR(KysymyksetTaulukko[[#This Row],[Toimiala A]]="K",KysymyksetTaulukko[[#This Row],[Toimiala B]]="K",KysymyksetTaulukko[[#This Row],[Toimiala C]]="K",KysymyksetTaulukko[[#This Row],[Toimiala D]]="K"),"Kuuluu","Ei kuulu")</calculatedColumnFormula>
    </tableColumn>
    <tableColumn id="6" xr3:uid="{8DFBEB69-2E64-41D4-BBD8-EC1430DEBA50}" name="Luokka + toimiala" dataDxfId="146" totalsRowDxfId="145">
      <calculatedColumnFormula>IF(OR(KysymyksetTaulukko[[#This Row],[Luokka]]="Ei kuulu",KysymyksetTaulukko[[#This Row],[Toimiala-
kysymys]]="Ei kuulu"), "Ei kuulu", "Kuuluu")</calculatedColumnFormula>
    </tableColumn>
    <tableColumn id="17" xr3:uid="{37C3F041-022B-488D-81FE-E22208FAB119}" name="SeliteOsittajaan" dataDxfId="144" totalsRowDxfId="143">
      <calculatedColumnFormula>IF(KysymyksetTaulukko[[#This Row],[Luokka + toimiala]]="Kuuluu","a) Oman vesilaitoksen kysymykset","b) Muut kysymykset")</calculatedColumnFormula>
    </tableColumn>
    <tableColumn id="4" xr3:uid="{3DB70B9A-757B-4F9A-9CD9-F7531B0498D3}" name="Pääkategoria" dataDxfId="142" totalsRowDxfId="141"/>
    <tableColumn id="5" xr3:uid="{763A4CF7-9FD1-482D-BD35-8FBA16EB7D46}" name="Alakategoria_" dataDxfId="140" totalsRowDxfId="139"/>
    <tableColumn id="7" xr3:uid="{5E6CD6BF-9DED-4DF4-A033-C7A7177FB1C0}" name="Ala-_x000a_kategorianNro" dataDxfId="138" totalsRowDxfId="137">
      <calculatedColumnFormula>LEFT(KysymyksetTaulukko[[#This Row],[Alakategoria_]],2)</calculatedColumnFormula>
    </tableColumn>
    <tableColumn id="24" xr3:uid="{0DDA8458-E008-4530-823D-75E43CCC4F5E}" name="HV" dataDxfId="136" totalsRowDxfId="135"/>
    <tableColumn id="25" xr3:uid="{95242547-6F6A-4661-8C82-4499B41F7390}" name="Huolto-varmuus" dataDxfId="134" totalsRowDxfId="133"/>
    <tableColumn id="26" xr3:uid="{157E0E0E-ABD4-4786-8118-8BB054BD5833}" name="Extra-_x000a_kriteeri" dataDxfId="132" totalsRowDxfId="131">
      <calculatedColumnFormula>IF(AND(KysymyksetTaulukko[[#This Row],[Luokka]]="Extra",KysymyksetTaulukko[[#This Row],[Luokka + toimiala]]="Kuuluu"),"Extra","")</calculatedColumnFormula>
    </tableColumn>
    <tableColumn id="27" xr3:uid="{3C3EFA93-FCA9-4A0A-87A0-241F12B18A05}" name="Otsikkorivi" dataDxfId="130" totalsRowDxfId="129"/>
    <tableColumn id="2" xr3:uid="{7101296D-2FD6-4EA2-8141-A4C089DB8FFB}" name="Kriteeri" dataDxfId="128" totalsRowDxfId="127"/>
    <tableColumn id="15" xr3:uid="{7FA67CF0-1FEB-4B6A-8D21-6C03A6F2774B}" name="Vastaus" dataDxfId="126" totalsRowDxfId="125"/>
    <tableColumn id="16" xr3:uid="{77FC82C2-AD6B-445A-86B7-CF5945C9EA3D}" name="Pisteet" dataDxfId="124" totalsRowDxfId="123">
      <calculatedColumnFormula>IF(AND(KysymyksetTaulukko[[#This Row],[Luokka + toimiala]]="Kuuluu",KysymyksetTaulukko[[#This Row],[Vastaus]]="Kyllä"),1,0)</calculatedColumnFormula>
    </tableColumn>
    <tableColumn id="8" xr3:uid="{80C542E6-6000-4F69-8575-E227190E82D6}" name="Onko vastattu" dataDxfId="122" totalsRowDxfId="121">
      <calculatedColumnFormula>IF(AND(KysymyksetTaulukko[[#This Row],[Maksimipisteet]]=1,NOT(ISBLANK(KysymyksetTaulukko[[#This Row],[Vastaus]]))),1,0)</calculatedColumnFormula>
    </tableColumn>
    <tableColumn id="18" xr3:uid="{8FDE0A58-7C00-442C-8FDF-248C991281E8}" name="Maksimipisteet" dataDxfId="120" totalsRowDxfId="119">
      <calculatedColumnFormula>IF(OR(KysymyksetTaulukko[[#This Row],[Luokka + toimiala]]="Ei kuulu",KysymyksetTaulukko[[#This Row],[Vastaus]]="Ei koske",KysymyksetTaulukko[[#This Row],[Luokka]]="Extra",KysymyksetTaulukko[[#This Row],[Otsikkorivi]]="Kyllä"),0,1)</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A556F9-D1AC-416F-9852-563AEA836DB4}" name="KysymyksetTaulukko2" displayName="KysymyksetTaulukko2" ref="A4:V46" totalsRowShown="0" headerRowDxfId="223" dataDxfId="222">
  <autoFilter ref="A4:V46" xr:uid="{5A26C62D-9597-4243-8B48-2A70AF302A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F88D5123-AC91-438A-A724-3598E6BEBB7B}" name="Kysymyk-sen _x000a_Luokka" dataDxfId="221" totalsRowDxfId="220"/>
    <tableColumn id="14" xr3:uid="{8C54C38B-1468-4D89-9B74-DA470B36DEF5}" name="Luokka" dataDxfId="219" totalsRowDxfId="218">
      <calculatedColumnFormula>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calculatedColumnFormula>
    </tableColumn>
    <tableColumn id="3" xr3:uid="{F1D171A6-F5D2-41C3-82D1-C19647CFF313}" name="Kysymyksen _x000a_Toimiala" dataDxfId="217" totalsRowDxfId="216"/>
    <tableColumn id="9" xr3:uid="{DADFFF44-2217-4208-BA52-EA181A196A53}" name="Toimiala A" dataDxfId="215">
      <calculatedColumnFormula>IF(ISNUMBER(SEARCH(LV!$I$5, Kustannustehokas_ja_organisoitu!C5)), "K", "E")</calculatedColumnFormula>
    </tableColumn>
    <tableColumn id="10" xr3:uid="{E173689C-99D8-4634-8C90-6BCA2623A574}" name="Toimiala B" dataDxfId="214" totalsRowDxfId="213">
      <calculatedColumnFormula>IF(ISNUMBER(SEARCH(LV!$I$6, Kustannustehokas_ja_organisoitu!$C5)), "K", "E")</calculatedColumnFormula>
    </tableColumn>
    <tableColumn id="11" xr3:uid="{580DCC93-24BF-4695-A037-38063105FE9B}" name="Toimiala C" dataDxfId="212" totalsRowDxfId="211">
      <calculatedColumnFormula>IF(ISNUMBER(SEARCH(LV!$I$7, Kustannustehokas_ja_organisoitu!$C5)), "K", "E")</calculatedColumnFormula>
    </tableColumn>
    <tableColumn id="12" xr3:uid="{3A6324EA-CB3C-4069-9760-FDF39BF1607F}" name="Toimiala D" dataDxfId="210" totalsRowDxfId="209">
      <calculatedColumnFormula>IF(ISNUMBER(SEARCH(LV!$I$8, Kustannustehokas_ja_organisoitu!$C5)), "K", "E")</calculatedColumnFormula>
    </tableColumn>
    <tableColumn id="13" xr3:uid="{1AE98AC5-EB8F-4114-9E4A-7D8417024ADD}" name="Toimiala-_x000a_kysymys" dataDxfId="208" totalsRowDxfId="207">
      <calculatedColumnFormula>IF(OR(KysymyksetTaulukko2[[#This Row],[Toimiala A]]="K",KysymyksetTaulukko2[[#This Row],[Toimiala B]]="K",KysymyksetTaulukko2[[#This Row],[Toimiala C]]="K",KysymyksetTaulukko2[[#This Row],[Toimiala D]]="K"),"Kuuluu","Ei kuulu")</calculatedColumnFormula>
    </tableColumn>
    <tableColumn id="6" xr3:uid="{908B4963-F969-4413-9E59-9F40BA4C253A}" name="Luokka + toimiala" dataDxfId="206" totalsRowDxfId="205">
      <calculatedColumnFormula>IF(OR(KysymyksetTaulukko2[[#This Row],[Luokka]]="Ei kuulu",KysymyksetTaulukko2[[#This Row],[Toimiala-
kysymys]]="Ei kuulu"), "Ei kuulu", "Kuuluu")</calculatedColumnFormula>
    </tableColumn>
    <tableColumn id="17" xr3:uid="{AEE2CF4F-1B1F-45FE-9356-74F2E0ABB689}" name="SeliteOsittajaan" dataDxfId="204" totalsRowDxfId="203">
      <calculatedColumnFormula>IF(KysymyksetTaulukko2[[#This Row],[Luokka + toimiala]]="Kuuluu","a) Oman vesilaitoksen kysymykset","b) Muut kysymykset")</calculatedColumnFormula>
    </tableColumn>
    <tableColumn id="4" xr3:uid="{BAF5E382-37F1-438B-83A4-7F5F0EACC19A}" name="Pääkategoria" dataDxfId="202" totalsRowDxfId="201"/>
    <tableColumn id="5" xr3:uid="{2AA2A1DE-E7D4-4ACA-8368-9775BA6280D1}" name="Alakategoria_" dataDxfId="200" totalsRowDxfId="199"/>
    <tableColumn id="7" xr3:uid="{A8487B04-A165-4761-B350-71BA83EB3E0F}" name="Ala-_x000a_kategorianNro" dataDxfId="198" totalsRowDxfId="197">
      <calculatedColumnFormula>LEFT(KysymyksetTaulukko2[[#This Row],[Alakategoria_]],2)</calculatedColumnFormula>
    </tableColumn>
    <tableColumn id="24" xr3:uid="{ED8D0066-25A6-490D-B87D-B2D817A4B118}" name="HV" dataDxfId="196" totalsRowDxfId="195"/>
    <tableColumn id="25" xr3:uid="{F29B7C33-F209-4E08-91CE-98B131B57880}" name="Huolto-varmuus" dataDxfId="194" totalsRowDxfId="193"/>
    <tableColumn id="26" xr3:uid="{5CD6AEEA-CDD0-4F35-9EE5-3E6F5C093D1B}" name="Extra-_x000a_kriteeri" dataDxfId="192" totalsRowDxfId="191">
      <calculatedColumnFormula>IF(AND(KysymyksetTaulukko2[[#This Row],[Luokka]]="Extra",KysymyksetTaulukko2[[#This Row],[Luokka + toimiala]]="Kuuluu"),"Extra","")</calculatedColumnFormula>
    </tableColumn>
    <tableColumn id="27" xr3:uid="{900073F2-8CCF-4D69-B033-7AD44480A157}" name="Otsikkorivi" dataDxfId="190" totalsRowDxfId="189"/>
    <tableColumn id="2" xr3:uid="{47D182AB-05AE-45A1-B7FB-35EE69471DC2}" name="Kriteeri" dataDxfId="188" totalsRowDxfId="187"/>
    <tableColumn id="15" xr3:uid="{56553DE1-B343-4255-A3D6-292EE725DEC5}" name="Vastaus" dataDxfId="186" totalsRowDxfId="185"/>
    <tableColumn id="16" xr3:uid="{9CB28083-9098-4B12-A143-5C0042A20FFC}" name="Pisteet" dataDxfId="184" totalsRowDxfId="183">
      <calculatedColumnFormula>IF(AND(KysymyksetTaulukko2[[#This Row],[Luokka + toimiala]]="Kuuluu",KysymyksetTaulukko2[[#This Row],[Vastaus]]="Kyllä"),1,0)</calculatedColumnFormula>
    </tableColumn>
    <tableColumn id="8" xr3:uid="{45ED2EFC-E772-4084-95E1-0C715D53149E}" name="Onko vastattu" dataDxfId="182" totalsRowDxfId="181">
      <calculatedColumnFormula>IF(AND(KysymyksetTaulukko2[[#This Row],[Maksimipisteet]]=1,NOT(ISBLANK(KysymyksetTaulukko2[[#This Row],[Vastaus]]))),1,0)</calculatedColumnFormula>
    </tableColumn>
    <tableColumn id="18" xr3:uid="{B4B2D42D-F792-4922-9944-C27DC2F34E48}" name="Maksimipisteet" dataDxfId="180" totalsRowDxfId="179">
      <calculatedColumnFormula>IF(OR(KysymyksetTaulukko2[[#This Row],[Luokka + toimiala]]="Ei kuulu",KysymyksetTaulukko2[[#This Row],[Vastaus]]="Ei koske",KysymyksetTaulukko2[[#This Row],[Luokka]]="Extra",KysymyksetTaulukko2[[#This Row],[Otsikkorivi]]="Kyllä"),0,1)</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9F97F3A-15C4-4075-9C37-005C6FD5BF6A}" name="KysymyksetTaulukko3" displayName="KysymyksetTaulukko3" ref="A4:V43" totalsRowShown="0" headerRowDxfId="118" dataDxfId="117">
  <autoFilter ref="A4:V43" xr:uid="{5A26C62D-9597-4243-8B48-2A70AF302A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4154112E-D859-4AC7-B21E-6F608EDDAA55}" name="Kysymyk-sen _x000a_Luokka" dataDxfId="116" totalsRowDxfId="115"/>
    <tableColumn id="14" xr3:uid="{8D2F41DB-237B-4CB2-B2DB-D1E690D99A72}" name="Luokka" dataDxfId="114" totalsRowDxfId="113">
      <calculatedColumnFormula>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calculatedColumnFormula>
    </tableColumn>
    <tableColumn id="3" xr3:uid="{26F5961C-EE9D-47E8-86CE-1CC87B97055B}" name="Kysymyksen _x000a_Toimiala" dataDxfId="112" totalsRowDxfId="111"/>
    <tableColumn id="9" xr3:uid="{46265C65-2E74-4730-8EB4-3A56455627AF}" name="Toimiala A" dataDxfId="110">
      <calculatedColumnFormula>IF(ISNUMBER(SEARCH(LV!$I$5, Kestävä_ja_kehittyvä!C5)), "K", "E")</calculatedColumnFormula>
    </tableColumn>
    <tableColumn id="10" xr3:uid="{214A11F0-F3F8-4153-BF90-FAB29CE1E825}" name="Toimiala B" dataDxfId="109" totalsRowDxfId="108">
      <calculatedColumnFormula>IF(ISNUMBER(SEARCH(LV!$I$6, Kestävä_ja_kehittyvä!$C5)), "K", "E")</calculatedColumnFormula>
    </tableColumn>
    <tableColumn id="11" xr3:uid="{33D72E48-1D43-4A0E-8A21-70527B346721}" name="Toimiala C" dataDxfId="107" totalsRowDxfId="106">
      <calculatedColumnFormula>IF(ISNUMBER(SEARCH(LV!$I$7, Kestävä_ja_kehittyvä!$C5)), "K", "E")</calculatedColumnFormula>
    </tableColumn>
    <tableColumn id="12" xr3:uid="{3B7A92FA-7C7D-4E26-82FB-F5EDAAAE3F08}" name="Toimiala D" dataDxfId="105" totalsRowDxfId="104">
      <calculatedColumnFormula>IF(ISNUMBER(SEARCH(LV!$I$8, Kestävä_ja_kehittyvä!$C5)), "K", "E")</calculatedColumnFormula>
    </tableColumn>
    <tableColumn id="13" xr3:uid="{9CB7D49D-5128-492E-B0A3-215C1A7FCCCD}" name="Toimiala-_x000a_kysymys" dataDxfId="103" totalsRowDxfId="102">
      <calculatedColumnFormula>IF(OR(KysymyksetTaulukko3[[#This Row],[Toimiala A]]="K",KysymyksetTaulukko3[[#This Row],[Toimiala B]]="K",KysymyksetTaulukko3[[#This Row],[Toimiala C]]="K",KysymyksetTaulukko3[[#This Row],[Toimiala D]]="K"),"Kuuluu","Ei kuulu")</calculatedColumnFormula>
    </tableColumn>
    <tableColumn id="6" xr3:uid="{A660017D-0E22-4EE5-9354-B0ABE21CAAAE}" name="Luokka + toimiala" dataDxfId="101" totalsRowDxfId="100">
      <calculatedColumnFormula>IF(OR(KysymyksetTaulukko3[[#This Row],[Luokka]]="Ei kuulu",KysymyksetTaulukko3[[#This Row],[Toimiala-
kysymys]]="Ei kuulu"), "Ei kuulu", "Kuuluu")</calculatedColumnFormula>
    </tableColumn>
    <tableColumn id="17" xr3:uid="{2965BDA5-1034-4621-B342-89EC2D7F9208}" name="SeliteOsittajaan" dataDxfId="99" totalsRowDxfId="98">
      <calculatedColumnFormula>IF(KysymyksetTaulukko3[[#This Row],[Luokka + toimiala]]="Kuuluu","a) Oman vesilaitoksen kysymykset","b) Muut kysymykset")</calculatedColumnFormula>
    </tableColumn>
    <tableColumn id="4" xr3:uid="{CF8351CE-88EC-4A22-B19A-CC694E97A15B}" name="Pääkategoria" dataDxfId="97" totalsRowDxfId="96"/>
    <tableColumn id="5" xr3:uid="{96747015-9A02-4B55-8A6C-E5B23ECD5584}" name="Alakategoria_" dataDxfId="95" totalsRowDxfId="94"/>
    <tableColumn id="7" xr3:uid="{0CB6B1EF-4EED-4B64-8A1A-967403BA85D1}" name="Ala-_x000a_kategorianNro" dataDxfId="93" totalsRowDxfId="92">
      <calculatedColumnFormula>LEFT(KysymyksetTaulukko3[[#This Row],[Alakategoria_]],2)</calculatedColumnFormula>
    </tableColumn>
    <tableColumn id="24" xr3:uid="{7FEC42B7-3F4B-41A7-A2F1-2B9950D02CDD}" name="HV" dataDxfId="91" totalsRowDxfId="90"/>
    <tableColumn id="25" xr3:uid="{09E2872D-A8FD-4C87-A848-5865B3F61DD7}" name="Huolto-varmuus" dataDxfId="89" totalsRowDxfId="88"/>
    <tableColumn id="26" xr3:uid="{0382B742-8E55-4C73-BB01-4C4B0D12A44C}" name="Extra-_x000a_kriteeri" dataDxfId="87" totalsRowDxfId="86">
      <calculatedColumnFormula>IF(AND(KysymyksetTaulukko3[[#This Row],[Luokka]]="Extra",KysymyksetTaulukko3[[#This Row],[Luokka + toimiala]]="Kuuluu"),"Extra","")</calculatedColumnFormula>
    </tableColumn>
    <tableColumn id="27" xr3:uid="{C7A06A7C-0A56-42C2-91FF-3A4FE260C458}" name="Otsikkorivi" dataDxfId="85" totalsRowDxfId="84"/>
    <tableColumn id="2" xr3:uid="{FC007125-E065-48EA-BF83-051FE196476A}" name="Kriteeri" dataDxfId="83" totalsRowDxfId="82"/>
    <tableColumn id="15" xr3:uid="{0D3C5A55-B989-4F07-9A99-9F7C46A93533}" name="Vastaus" dataDxfId="81" totalsRowDxfId="80"/>
    <tableColumn id="16" xr3:uid="{B736AD91-5143-47F5-92C9-1EE6D164D30A}" name="Pisteet" dataDxfId="79" totalsRowDxfId="78">
      <calculatedColumnFormula>IF(AND(KysymyksetTaulukko3[[#This Row],[Luokka + toimiala]]="Kuuluu",KysymyksetTaulukko3[[#This Row],[Vastaus]]="Kyllä"),1,0)</calculatedColumnFormula>
    </tableColumn>
    <tableColumn id="8" xr3:uid="{61FE0E76-4416-406F-BBCE-96C2446F37F2}" name="Onko vastattu" dataDxfId="77" totalsRowDxfId="76">
      <calculatedColumnFormula>IF(AND(KysymyksetTaulukko3[[#This Row],[Maksimipisteet]]=1,NOT(ISBLANK(KysymyksetTaulukko3[[#This Row],[Vastaus]]))),1,0)</calculatedColumnFormula>
    </tableColumn>
    <tableColumn id="18" xr3:uid="{DA878B43-A99C-49F3-9C8B-0EB476B218A5}" name="Maksimipisteet" dataDxfId="75" totalsRowDxfId="74">
      <calculatedColumnFormula>IF(OR(KysymyksetTaulukko3[[#This Row],[Luokka + toimiala]]="Ei kuulu",KysymyksetTaulukko3[[#This Row],[Vastaus]]="Ei koske",KysymyksetTaulukko3[[#This Row],[Luokka]]="Extra",KysymyksetTaulukko3[[#This Row],[Otsikkorivi]]="Kyllä"),0,1)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69E2FB-62C0-4683-8BE1-7742786EFA93}" name="KorjattavaaTaulukko" displayName="KorjattavaaTaulukko" ref="A6:H148" totalsRowShown="0" headerRowDxfId="73" dataDxfId="71" headerRowBorderDxfId="72" tableBorderDxfId="70">
  <autoFilter ref="A6:H148" xr:uid="{C969E2FB-62C0-4683-8BE1-7742786EFA93}"/>
  <tableColumns count="8">
    <tableColumn id="1" xr3:uid="{C2C6C332-560E-40CE-ACDB-5A7CCC9C0990}" name="Kuuluuko kriteeri kyseisen laitoksen vastattavaksi" dataDxfId="69">
      <calculatedColumnFormula>Turvallinen_ja_toimintavarma!I5</calculatedColumnFormula>
    </tableColumn>
    <tableColumn id="9" xr3:uid="{890FAA2F-114D-459C-87C2-0C426CDEAD50}" name="Extra-kysymys" dataDxfId="68">
      <calculatedColumnFormula>Turvallinen_ja_toimintavarma!P5</calculatedColumnFormula>
    </tableColumn>
    <tableColumn id="8" xr3:uid="{8F44E568-905E-4D1C-9D11-4218F3CFDC3B}" name="Onko korjattavaa?" dataDxfId="67">
      <calculatedColumnFormula>IF(AND(A7="Kuuluu",H7="Ei",B7&lt;&gt;"Extra"),"Kyllä","Ei")</calculatedColumnFormula>
    </tableColumn>
    <tableColumn id="3" xr3:uid="{91A67E10-483C-4A67-86D1-A1D7D3048515}" name="Huoltovarmuuskriteeri" dataDxfId="66">
      <calculatedColumnFormula>IF(Turvallinen_ja_toimintavarma!N5="x","Kyllä","Ei")</calculatedColumnFormula>
    </tableColumn>
    <tableColumn id="4" xr3:uid="{F9BD5D0C-9192-4F2B-B990-10D55E38D78F}" name="Pääkategoria" dataDxfId="65">
      <calculatedColumnFormula>IF(ISBLANK(Turvallinen_ja_toimintavarma!K5),"_Otsikkorivi",Turvallinen_ja_toimintavarma!K5)</calculatedColumnFormula>
    </tableColumn>
    <tableColumn id="5" xr3:uid="{AF0D667B-6A9D-46AE-9547-6AF5E3FA3158}" name="Alakategoria" dataDxfId="64">
      <calculatedColumnFormula>Turvallinen_ja_toimintavarma!L5</calculatedColumnFormula>
    </tableColumn>
    <tableColumn id="6" xr3:uid="{976E5EB1-B613-473E-8248-A4F26257AC1C}" name="Arviointikriteeri" dataDxfId="63">
      <calculatedColumnFormula>IF(ISBLANK(Turvallinen_ja_toimintavarma!#REF!),"Otsikkorivi",Turvallinen_ja_toimintavarma!#REF!)</calculatedColumnFormula>
    </tableColumn>
    <tableColumn id="7" xr3:uid="{71A3BF98-3A23-4FB1-9846-B12D50884294}" name="Vastaus " dataDxfId="62">
      <calculatedColumnFormula>IF(ISBLANK(Turvallinen_ja_toimintavarma!S5),"",Turvallinen_ja_toimintavarma!S5)</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3812A1-1039-437B-89AD-97568F54B38E}" name="KorjattavaaTaulukko4" displayName="KorjattavaaTaulukko4" ref="A6:H148" totalsRowShown="0" headerRowDxfId="61" dataDxfId="59" headerRowBorderDxfId="60" tableBorderDxfId="58">
  <autoFilter ref="A6:H148" xr:uid="{C969E2FB-62C0-4683-8BE1-7742786EFA93}"/>
  <tableColumns count="8">
    <tableColumn id="1" xr3:uid="{BAA8EC83-0666-4507-A5DF-67FF8FAA72FE}" name="Kuuluuko kriteeri kyseisen laitoksen vastattavaksi" dataDxfId="57">
      <calculatedColumnFormula>Turvallinen_ja_toimintavarma!I5</calculatedColumnFormula>
    </tableColumn>
    <tableColumn id="9" xr3:uid="{22212CD1-252C-47A0-B4D7-7D12A6FD07C9}" name="Extra-kysymys" dataDxfId="56">
      <calculatedColumnFormula>Turvallinen_ja_toimintavarma!P5</calculatedColumnFormula>
    </tableColumn>
    <tableColumn id="8" xr3:uid="{00610092-8B6C-486F-9506-2D913A69A819}" name="Onko korjattavaa?" dataDxfId="55">
      <calculatedColumnFormula>IF(AND(A7="Kuuluu",H7="Ei",B7&lt;&gt;"Extra"),"Kyllä","Ei")</calculatedColumnFormula>
    </tableColumn>
    <tableColumn id="3" xr3:uid="{7DA7107A-A90F-4B43-8BAE-1F4E7FC543DD}" name="Huoltovarmuuskriteeri" dataDxfId="54">
      <calculatedColumnFormula>KorjattavaaTaulukko[[#This Row],[Huoltovarmuuskriteeri]]</calculatedColumnFormula>
    </tableColumn>
    <tableColumn id="4" xr3:uid="{485C1B15-5155-4E7E-BF4C-93A7E24E306E}" name="Pääkategoria" dataDxfId="53">
      <calculatedColumnFormula>KorjattavaaTaulukko[[#This Row],[Pääkategoria]]</calculatedColumnFormula>
    </tableColumn>
    <tableColumn id="5" xr3:uid="{72660202-32B6-49A3-A383-5A5AFE579EDE}" name="Alakategoria" dataDxfId="52">
      <calculatedColumnFormula>KorjattavaaTaulukko[[#This Row],[Alakategoria]]</calculatedColumnFormula>
    </tableColumn>
    <tableColumn id="6" xr3:uid="{2312AC0A-2ED4-4179-9B0B-8C8689C93AED}" name="Arviointikriteeri" dataDxfId="51">
      <calculatedColumnFormula>KorjattavaaTaulukko[[#This Row],[Arviointikriteeri]]</calculatedColumnFormula>
    </tableColumn>
    <tableColumn id="7" xr3:uid="{CFC4287E-9D9C-438C-9106-FE698CDADD90}" name="Vastaus " dataDxfId="50">
      <calculatedColumnFormula>KorjattavaaTaulukko[[#This Row],[Vastaus ]]</calculatedColumnFormula>
    </tableColumn>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829CEF9-39CA-4AC1-ACD4-DE7CFA4A6F40}" name="Koontitaulukko10" displayName="Koontitaulukko10" ref="A1:N143" totalsRowShown="0">
  <autoFilter ref="A1:N143" xr:uid="{26999DEF-217A-4D1C-B163-1389F5E5B771}">
    <filterColumn colId="5">
      <filters>
        <filter val="1. Laadukas, raakaveden laadun huomioiva, kriteerit täyttävä vedenkäsittelyprosessi"/>
        <filter val="10. Kestävä ja energiatehokas"/>
        <filter val="11. Asiakaspalvelu ja viestintä on suunniteltua ja läpinäkyvää"/>
        <filter val="2. Ajantasainen varautumis- ja valmiussuunnittelu ja yhteistyö muiden toimijoiden kanssa"/>
        <filter val="3. Kriittiset asiakkaat, väliaikainen vedenjakelu ja poikkeustilanteiden viestintä"/>
        <filter val="4. Kemikaalit, varaosat ja kriittiset palvelut"/>
        <filter val="5. Laitoksella on riittävät henkilöstöresurssit ja ammattitaitoinen henkilökunta, ja varallaolo on suunniteltu"/>
        <filter val="6. Omaisuuden hallinta, operointi ja kunnossapito on suunnitelmallista"/>
        <filter val="7. Johtaminen on suunniteltua ja toiminta on kannattavaa"/>
        <filter val="8. Käyttötalouden hallinta ja hankinnat ovat suunniteltuja, tehostettuja ja läpinäkyviä."/>
        <filter val="9. Jätevesien käsittelyn ja johtamisen ympäristökuormitus minimoidaan"/>
      </filters>
    </filterColumn>
  </autoFilter>
  <tableColumns count="14">
    <tableColumn id="1" xr3:uid="{74289B7D-A224-4BAD-B8EC-597651AC3198}" name="Kuuluuko kriteeri kyseisen laitoksen vastattavaksi">
      <calculatedColumnFormula>Turvallinen_ja_toimintavarma!I5</calculatedColumnFormula>
    </tableColumn>
    <tableColumn id="2" xr3:uid="{001C74F1-3905-4CD8-BEDE-9B233D28BD41}" name="Extra-kysymys">
      <calculatedColumnFormula>Turvallinen_ja_toimintavarma!P5</calculatedColumnFormula>
    </tableColumn>
    <tableColumn id="3" xr3:uid="{5F7F0690-FD55-45EA-991F-DF1B264718F0}" name="Kriteerin kokoluokka" dataDxfId="49">
      <calculatedColumnFormula>Turvallinen_ja_toimintavarma!A5</calculatedColumnFormula>
    </tableColumn>
    <tableColumn id="4" xr3:uid="{967F13E0-213B-4DED-8DA7-8DDB41E8C491}" name="Kriteerin toimiala">
      <calculatedColumnFormula>Turvallinen_ja_toimintavarma!C5</calculatedColumnFormula>
    </tableColumn>
    <tableColumn id="5" xr3:uid="{A6F4FAAB-F976-4497-B53C-41DC6A570011}" name="Pääkategoria" dataDxfId="48">
      <calculatedColumnFormula>IF(ISBLANK(Turvallinen_ja_toimintavarma!K5),"_Otsikkorivi",Turvallinen_ja_toimintavarma!K5)</calculatedColumnFormula>
    </tableColumn>
    <tableColumn id="6" xr3:uid="{4387E831-C608-44CB-B9A6-F5FFAC4A1182}" name="Alakategoria">
      <calculatedColumnFormula>Turvallinen_ja_toimintavarma!L5</calculatedColumnFormula>
    </tableColumn>
    <tableColumn id="7" xr3:uid="{194F231C-4118-4386-BF1E-1FA97D54B998}" name="Arviointikriteeri" dataDxfId="47">
      <calculatedColumnFormula>IF(ISBLANK(Turvallinen_ja_toimintavarma!#REF!),"Otsikkorivi",Turvallinen_ja_toimintavarma!#REF!)</calculatedColumnFormula>
    </tableColumn>
    <tableColumn id="8" xr3:uid="{99A89BD8-2267-4D0C-B88E-37B99CF4FE73}" name="Huoltovarmuus">
      <calculatedColumnFormula>IF(Turvallinen_ja_toimintavarma!N5="x","Kyllä","Ei")</calculatedColumnFormula>
    </tableColumn>
    <tableColumn id="9" xr3:uid="{1F98F245-0071-4217-9A8E-B654BF75EBE9}" name="Vastaus " dataDxfId="46">
      <calculatedColumnFormula>IF(ISBLANK(Turvallinen_ja_toimintavarma!S5),"",Turvallinen_ja_toimintavarma!S5)</calculatedColumnFormula>
    </tableColumn>
    <tableColumn id="10" xr3:uid="{6C513CB4-A055-43AB-8EA4-B770FE7A5372}" name="Vastaajan kokoluokka">
      <calculatedColumnFormula>LV!$B$10</calculatedColumnFormula>
    </tableColumn>
    <tableColumn id="11" xr3:uid="{59FCE4CC-875B-4177-B902-5ED148F872CC}" name="Vastaajan toimiala">
      <calculatedColumnFormula>LV!$I$18</calculatedColumnFormula>
    </tableColumn>
    <tableColumn id="12" xr3:uid="{F374405F-7B16-4D24-A780-5D928C8C9837}" name="Kunta" dataDxfId="45">
      <calculatedColumnFormula>IF(ISBLANK(Lähtötiedot!$O$18),"",Lähtötiedot!$O$18)</calculatedColumnFormula>
    </tableColumn>
    <tableColumn id="13" xr3:uid="{2226E64A-C3B1-4D2A-A2A4-18CE4C3FFB45}" name="Vesilaitoksen nimi" dataDxfId="44">
      <calculatedColumnFormula>IF(ISBLANK(Lähtötiedot!$O$16),"",Lähtötiedot!$O$16)</calculatedColumnFormula>
    </tableColumn>
    <tableColumn id="14" xr3:uid="{9DA5C425-11EC-42ED-B5B6-01028CCE3A37}" name="Vastauspvm" dataDxfId="43">
      <calculatedColumnFormula>IF(ISBLANK(Lähtötiedot!$O$15),"",Lähtötiedot!$O$15)</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6999DEF-217A-4D1C-B163-1389F5E5B771}" name="Koontitaulukko" displayName="Koontitaulukko" ref="A1:N143" totalsRowShown="0">
  <autoFilter ref="A1:N143" xr:uid="{26999DEF-217A-4D1C-B163-1389F5E5B771}">
    <filterColumn colId="5">
      <filters>
        <filter val="1. Laadukas, raakaveden laadun huomioiva, kriteerit täyttävä vedenkäsittelyprosessi"/>
        <filter val="10. Kestävä ja energiatehokas"/>
        <filter val="11. Asiakaspalvelu ja viestintä on suunniteltua ja läpinäkyvää"/>
        <filter val="2. Ajantasainen varautumis- ja valmiussuunnittelu ja yhteistyö muiden toimijoiden kanssa"/>
        <filter val="3. Kriittiset asiakkaat, väliaikainen vedenjakelu ja poikkeustilanteiden viestintä"/>
        <filter val="4. Kemikaalit, varaosat ja kriittiset palvelut"/>
        <filter val="5. Laitoksella on riittävät henkilöstöresurssit ja ammattitaitoinen henkilökunta, ja varallaolo on suunniteltu"/>
        <filter val="6. Omaisuuden hallinta, operointi ja kunnossapito on suunnitelmallista"/>
        <filter val="7. Johtaminen on suunniteltua ja toiminta on kannattavaa"/>
        <filter val="8. Käyttötalouden hallinta ja hankinnat ovat suunniteltuja, tehostettuja ja läpinäkyviä."/>
        <filter val="9. Jätevesien käsittelyn ja johtamisen ympäristökuormitus minimoidaan"/>
      </filters>
    </filterColumn>
  </autoFilter>
  <tableColumns count="14">
    <tableColumn id="1" xr3:uid="{097A4A59-9ED3-464D-920B-FCB2817A71F0}" name="Kuuluuko kriteeri kyseisen laitoksen vastattavaksi">
      <calculatedColumnFormula>Koontitaulukko10[[#This Row],[Kuuluuko kriteeri kyseisen laitoksen vastattavaksi]]</calculatedColumnFormula>
    </tableColumn>
    <tableColumn id="2" xr3:uid="{B426F749-BB54-4B27-B857-F194912F5BDA}" name="Extra-kysymys">
      <calculatedColumnFormula>Koontitaulukko10[[#This Row],[Extra-kysymys]]</calculatedColumnFormula>
    </tableColumn>
    <tableColumn id="3" xr3:uid="{D9551557-3B72-458F-9EFE-8793C0DC1124}" name="Kriteerin kokoluokka" dataDxfId="42">
      <calculatedColumnFormula>Koontitaulukko10[[#This Row],[Kriteerin kokoluokka]]</calculatedColumnFormula>
    </tableColumn>
    <tableColumn id="4" xr3:uid="{790B856E-B441-4CA1-9AB4-773C784E4A16}" name="Kriteerin toimiala">
      <calculatedColumnFormula>Koontitaulukko10[[#This Row],[Kriteerin toimiala]]</calculatedColumnFormula>
    </tableColumn>
    <tableColumn id="5" xr3:uid="{6171F435-3645-4BAA-91C5-AD8C26F3034A}" name="Pääkategoria" dataDxfId="41">
      <calculatedColumnFormula>Koontitaulukko10[[#This Row],[Pääkategoria]]</calculatedColumnFormula>
    </tableColumn>
    <tableColumn id="6" xr3:uid="{EFF473C5-2319-4CB2-AA61-37259423CED8}" name="Alakategoria">
      <calculatedColumnFormula>Koontitaulukko10[[#This Row],[Alakategoria]]</calculatedColumnFormula>
    </tableColumn>
    <tableColumn id="7" xr3:uid="{915809D8-E555-4D39-A4AE-DC5A4FA8AEC1}" name="Arviointikriteeri" dataDxfId="40">
      <calculatedColumnFormula>Koontitaulukko10[[#This Row],[Arviointikriteeri]]</calculatedColumnFormula>
    </tableColumn>
    <tableColumn id="8" xr3:uid="{F5D8CC19-BAEB-4538-8A26-A4DE6ED0023F}" name="Huoltovarmuus">
      <calculatedColumnFormula>Koontitaulukko10[[#This Row],[Huoltovarmuus]]</calculatedColumnFormula>
    </tableColumn>
    <tableColumn id="9" xr3:uid="{7A32C864-857C-457C-A8BE-166B29C37674}" name="Vastaus " dataDxfId="39">
      <calculatedColumnFormula>Koontitaulukko10[[#This Row],[Vastaus ]]</calculatedColumnFormula>
    </tableColumn>
    <tableColumn id="10" xr3:uid="{9C7C36DF-8C5B-46EF-B416-BE1BCA5B21E8}" name="Vastaajan kokoluokka">
      <calculatedColumnFormula>Koontitaulukko10[[#This Row],[Vastaajan kokoluokka]]</calculatedColumnFormula>
    </tableColumn>
    <tableColumn id="11" xr3:uid="{9F559DA5-EE53-44C8-AAAA-EEBD688939E9}" name="Vastaajan toimiala">
      <calculatedColumnFormula>Koontitaulukko10[[#This Row],[Vastaajan toimiala]]</calculatedColumnFormula>
    </tableColumn>
    <tableColumn id="12" xr3:uid="{CE455B4A-FFE2-4935-8D0B-700901D39368}" name="Kunta" dataDxfId="38">
      <calculatedColumnFormula>Koontitaulukko10[[#This Row],[Kunta]]</calculatedColumnFormula>
    </tableColumn>
    <tableColumn id="13" xr3:uid="{6B93B704-779F-4E47-BBA3-20507B8C2E9A}" name="Vesilaitoksen nimi" dataDxfId="37">
      <calculatedColumnFormula>Koontitaulukko10[[#This Row],[Vesilaitoksen nimi]]</calculatedColumnFormula>
    </tableColumn>
    <tableColumn id="14" xr3:uid="{44B5DA26-55AC-4995-B9C0-B40AA879985A}" name="Vastauspvm" dataDxfId="36">
      <calculatedColumnFormula>Koontitaulukko10[[#This Row],[Vastauspvm]]</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microsoft.com/office/2007/relationships/slicer" Target="../slicers/slicer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microsoft.com/office/2007/relationships/slicer" Target="../slicers/slicer6.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microsoft.com/office/2007/relationships/slicer" Target="../slicers/slicer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microsoft.com/office/2007/relationships/slicer" Target="../slicers/slicer2.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microsoft.com/office/2007/relationships/slicer" Target="../slicers/slicer3.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7D41-CF60-4B82-BBB7-23654EBE82C0}">
  <sheetPr codeName="Sheet3">
    <tabColor rgb="FFBB90FF"/>
  </sheetPr>
  <dimension ref="A1:Y58"/>
  <sheetViews>
    <sheetView showGridLines="0" tabSelected="1" zoomScaleNormal="100" workbookViewId="0">
      <selection activeCell="O15" sqref="O15:S15"/>
    </sheetView>
  </sheetViews>
  <sheetFormatPr defaultRowHeight="14.5" x14ac:dyDescent="0.35"/>
  <cols>
    <col min="1" max="1" width="4.1796875" customWidth="1"/>
    <col min="3" max="3" width="4.1796875" customWidth="1"/>
    <col min="6" max="6" width="12.54296875" customWidth="1"/>
    <col min="8" max="8" width="4.1796875" customWidth="1"/>
  </cols>
  <sheetData>
    <row r="1" spans="1:25" x14ac:dyDescent="0.35">
      <c r="A1" s="54"/>
      <c r="B1" s="54"/>
      <c r="C1" s="54"/>
      <c r="D1" s="54"/>
      <c r="E1" s="54"/>
      <c r="F1" s="54"/>
      <c r="G1" s="54"/>
      <c r="H1" s="54"/>
      <c r="I1" s="54"/>
      <c r="J1" s="54"/>
      <c r="K1" s="54"/>
      <c r="L1" s="54"/>
      <c r="M1" s="54"/>
      <c r="N1" s="54"/>
      <c r="O1" s="54"/>
      <c r="P1" s="54"/>
      <c r="Q1" s="54"/>
      <c r="R1" s="54"/>
      <c r="S1" s="54"/>
      <c r="T1" s="54"/>
      <c r="U1" s="54"/>
      <c r="V1" s="54"/>
      <c r="W1" s="54"/>
      <c r="X1" s="54"/>
      <c r="Y1" s="54"/>
    </row>
    <row r="2" spans="1:25" x14ac:dyDescent="0.35">
      <c r="A2" s="54"/>
      <c r="B2" s="54"/>
      <c r="C2" s="54"/>
      <c r="D2" s="54"/>
      <c r="E2" s="54"/>
      <c r="F2" s="54"/>
      <c r="G2" s="54"/>
      <c r="H2" s="54"/>
      <c r="I2" s="54"/>
      <c r="J2" s="54"/>
      <c r="K2" s="54"/>
      <c r="L2" s="54"/>
      <c r="M2" s="54"/>
      <c r="N2" s="54"/>
      <c r="O2" s="54"/>
      <c r="P2" s="54"/>
      <c r="Q2" s="54"/>
      <c r="R2" s="54"/>
      <c r="S2" s="54"/>
      <c r="T2" s="54"/>
      <c r="U2" s="54"/>
      <c r="V2" s="54"/>
      <c r="W2" s="54"/>
      <c r="X2" s="54"/>
      <c r="Y2" s="54"/>
    </row>
    <row r="3" spans="1:25" x14ac:dyDescent="0.35">
      <c r="A3" s="54"/>
      <c r="B3" s="54"/>
      <c r="C3" s="54"/>
      <c r="D3" s="54"/>
      <c r="E3" s="54"/>
      <c r="F3" s="54"/>
      <c r="G3" s="54"/>
      <c r="H3" s="54"/>
      <c r="I3" s="54"/>
      <c r="J3" s="54"/>
      <c r="K3" s="54"/>
      <c r="L3" s="54"/>
      <c r="M3" s="54"/>
      <c r="N3" s="54"/>
      <c r="O3" s="54"/>
      <c r="P3" s="54"/>
      <c r="Q3" s="54"/>
      <c r="R3" s="54"/>
      <c r="S3" s="54"/>
      <c r="T3" s="54"/>
      <c r="U3" s="54"/>
      <c r="V3" s="54"/>
      <c r="W3" s="54"/>
      <c r="X3" s="54"/>
      <c r="Y3" s="54"/>
    </row>
    <row r="4" spans="1:25" x14ac:dyDescent="0.35">
      <c r="A4" s="54"/>
      <c r="B4" s="54"/>
      <c r="C4" s="54"/>
      <c r="D4" s="54"/>
      <c r="E4" s="54"/>
      <c r="F4" s="54"/>
      <c r="G4" s="54"/>
      <c r="H4" s="54"/>
      <c r="I4" s="54"/>
      <c r="J4" s="54"/>
      <c r="K4" s="54"/>
      <c r="L4" s="54"/>
      <c r="M4" s="54"/>
      <c r="N4" s="54"/>
      <c r="O4" s="54"/>
      <c r="P4" s="54"/>
      <c r="Q4" s="54"/>
      <c r="R4" s="54"/>
      <c r="S4" s="54"/>
      <c r="T4" s="54"/>
      <c r="U4" s="54"/>
      <c r="V4" s="54"/>
      <c r="W4" s="54"/>
      <c r="X4" s="54"/>
      <c r="Y4" s="54"/>
    </row>
    <row r="5" spans="1:25" x14ac:dyDescent="0.35">
      <c r="A5" s="54"/>
      <c r="B5" s="54"/>
      <c r="C5" s="54"/>
      <c r="D5" s="54"/>
      <c r="E5" s="54"/>
      <c r="F5" s="54"/>
      <c r="G5" s="54"/>
      <c r="H5" s="54"/>
      <c r="I5" s="54"/>
      <c r="J5" s="54"/>
      <c r="K5" s="54"/>
      <c r="L5" s="54"/>
      <c r="M5" s="54"/>
      <c r="N5" s="54"/>
      <c r="O5" s="54"/>
      <c r="P5" s="54"/>
      <c r="Q5" s="54"/>
      <c r="R5" s="54"/>
      <c r="S5" s="54"/>
      <c r="T5" s="54"/>
      <c r="U5" s="54"/>
      <c r="V5" s="54"/>
      <c r="W5" s="54"/>
      <c r="X5" s="54"/>
      <c r="Y5" s="54"/>
    </row>
    <row r="6" spans="1:25" x14ac:dyDescent="0.35">
      <c r="A6" s="54"/>
      <c r="B6" s="54"/>
      <c r="C6" s="54"/>
      <c r="D6" s="54"/>
      <c r="E6" s="54"/>
      <c r="F6" s="54"/>
      <c r="G6" s="54"/>
      <c r="H6" s="54"/>
      <c r="I6" s="54"/>
      <c r="J6" s="54"/>
      <c r="K6" s="54"/>
      <c r="L6" s="54"/>
      <c r="M6" s="54"/>
      <c r="N6" s="54"/>
      <c r="O6" s="54"/>
      <c r="P6" s="54"/>
      <c r="Q6" s="54"/>
      <c r="R6" s="54"/>
      <c r="S6" s="54"/>
      <c r="T6" s="54"/>
      <c r="U6" s="54"/>
      <c r="V6" s="54"/>
      <c r="W6" s="54"/>
      <c r="X6" s="54"/>
      <c r="Y6" s="54"/>
    </row>
    <row r="7" spans="1:25" x14ac:dyDescent="0.35">
      <c r="A7" s="54"/>
      <c r="B7" s="54"/>
      <c r="C7" s="54"/>
      <c r="D7" s="54"/>
      <c r="E7" s="54"/>
      <c r="F7" s="54"/>
      <c r="G7" s="54"/>
      <c r="H7" s="54"/>
      <c r="I7" s="54"/>
      <c r="J7" s="54"/>
      <c r="K7" s="54"/>
      <c r="L7" s="54"/>
      <c r="M7" s="54"/>
      <c r="N7" s="54"/>
      <c r="O7" s="54"/>
      <c r="P7" s="54"/>
      <c r="Q7" s="54"/>
      <c r="R7" s="54"/>
      <c r="S7" s="54"/>
      <c r="T7" s="54"/>
      <c r="U7" s="54"/>
      <c r="V7" s="54"/>
      <c r="W7" s="54"/>
      <c r="X7" s="54"/>
      <c r="Y7" s="54"/>
    </row>
    <row r="8" spans="1:25" x14ac:dyDescent="0.35">
      <c r="A8" s="54"/>
      <c r="B8" s="54"/>
      <c r="C8" s="54"/>
      <c r="D8" s="54"/>
      <c r="E8" s="54"/>
      <c r="F8" s="54"/>
      <c r="G8" s="54"/>
      <c r="H8" s="54"/>
      <c r="I8" s="54"/>
      <c r="J8" s="54"/>
      <c r="K8" s="54"/>
      <c r="L8" s="54"/>
      <c r="M8" s="54"/>
      <c r="N8" s="54"/>
      <c r="O8" s="54"/>
      <c r="P8" s="54"/>
      <c r="Q8" s="54"/>
      <c r="R8" s="54"/>
      <c r="S8" s="54"/>
      <c r="T8" s="54"/>
      <c r="U8" s="54"/>
      <c r="V8" s="54"/>
      <c r="W8" s="54"/>
      <c r="X8" s="54"/>
      <c r="Y8" s="54"/>
    </row>
    <row r="9" spans="1:25" ht="26" x14ac:dyDescent="0.6">
      <c r="A9" s="54"/>
      <c r="B9" s="54"/>
      <c r="C9" s="56" t="s">
        <v>218</v>
      </c>
      <c r="D9" s="54"/>
      <c r="E9" s="54"/>
      <c r="F9" s="54"/>
      <c r="G9" s="54"/>
      <c r="H9" s="54"/>
      <c r="I9" s="54"/>
      <c r="J9" s="54"/>
      <c r="K9" s="54"/>
      <c r="L9" s="54"/>
      <c r="M9" s="54"/>
      <c r="N9" s="54"/>
      <c r="O9" s="54"/>
      <c r="P9" s="54"/>
      <c r="Q9" s="54"/>
      <c r="R9" s="54"/>
      <c r="S9" s="54"/>
      <c r="T9" s="54"/>
      <c r="U9" s="54"/>
      <c r="V9" s="54"/>
      <c r="W9" s="54"/>
      <c r="X9" s="54"/>
      <c r="Y9" s="54"/>
    </row>
    <row r="10" spans="1:25" x14ac:dyDescent="0.35">
      <c r="A10" s="54"/>
      <c r="B10" s="54"/>
      <c r="C10" s="54"/>
      <c r="D10" s="54"/>
      <c r="E10" s="54"/>
      <c r="F10" s="54"/>
      <c r="G10" s="54"/>
      <c r="H10" s="54"/>
      <c r="I10" s="54"/>
      <c r="J10" s="54"/>
      <c r="K10" s="54"/>
      <c r="L10" s="54"/>
      <c r="M10" s="54"/>
      <c r="N10" s="54"/>
      <c r="O10" s="54"/>
      <c r="P10" s="54"/>
      <c r="Q10" s="54"/>
      <c r="R10" s="54"/>
      <c r="S10" s="54"/>
      <c r="T10" s="54"/>
      <c r="U10" s="54"/>
      <c r="V10" s="54"/>
      <c r="W10" s="54"/>
      <c r="X10" s="54"/>
      <c r="Y10" s="54"/>
    </row>
    <row r="11" spans="1:25" x14ac:dyDescent="0.35">
      <c r="A11" s="54"/>
      <c r="B11" s="54"/>
      <c r="C11" s="54"/>
      <c r="D11" s="54"/>
      <c r="E11" s="54"/>
      <c r="F11" s="54"/>
      <c r="G11" s="54"/>
      <c r="H11" s="54"/>
      <c r="I11" s="54"/>
      <c r="J11" s="54"/>
      <c r="K11" s="54"/>
      <c r="L11" s="54"/>
      <c r="M11" s="54"/>
      <c r="N11" s="54"/>
      <c r="O11" s="54"/>
      <c r="P11" s="54"/>
      <c r="Q11" s="54"/>
      <c r="R11" s="54"/>
      <c r="S11" s="54"/>
      <c r="T11" s="54"/>
      <c r="U11" s="54"/>
      <c r="V11" s="54"/>
      <c r="W11" s="54"/>
      <c r="X11" s="54"/>
      <c r="Y11" s="54"/>
    </row>
    <row r="12" spans="1:25" ht="24.65" customHeight="1" x14ac:dyDescent="0.35">
      <c r="A12" s="54"/>
      <c r="B12" s="54"/>
      <c r="C12" s="176" t="str">
        <f>LV!B21</f>
        <v>1) Valitse kokoluokka</v>
      </c>
      <c r="D12" s="176"/>
      <c r="E12" s="176"/>
      <c r="F12" s="176"/>
      <c r="G12" s="54"/>
      <c r="H12" s="176" t="str">
        <f>LV!I21</f>
        <v>2) Valitse toimiala</v>
      </c>
      <c r="I12" s="176"/>
      <c r="J12" s="176"/>
      <c r="K12" s="176"/>
      <c r="L12" s="54"/>
      <c r="M12" s="176" t="str">
        <f>LV!M21</f>
        <v>3) Kirjaa vastaajan tiedot</v>
      </c>
      <c r="N12" s="176"/>
      <c r="O12" s="176"/>
      <c r="P12" s="176"/>
      <c r="Q12" s="176"/>
      <c r="R12" s="176"/>
      <c r="S12" s="176"/>
      <c r="T12" s="54"/>
      <c r="U12" s="54"/>
      <c r="V12" s="54"/>
      <c r="W12" s="54"/>
      <c r="X12" s="54"/>
      <c r="Y12" s="54"/>
    </row>
    <row r="13" spans="1:25" ht="18.5" x14ac:dyDescent="0.45">
      <c r="A13" s="54"/>
      <c r="B13" s="54"/>
      <c r="C13" s="54"/>
      <c r="D13" s="54"/>
      <c r="E13" s="54"/>
      <c r="F13" s="54"/>
      <c r="G13" s="54"/>
      <c r="H13" s="54"/>
      <c r="I13" s="54"/>
      <c r="J13" s="54"/>
      <c r="K13" s="54"/>
      <c r="L13" s="54"/>
      <c r="M13" s="55"/>
      <c r="N13" s="54"/>
      <c r="O13" s="54"/>
      <c r="P13" s="54"/>
      <c r="Q13" s="54"/>
      <c r="R13" s="54"/>
      <c r="S13" s="54"/>
      <c r="T13" s="54"/>
      <c r="U13" s="54"/>
      <c r="V13" s="54"/>
      <c r="W13" s="54"/>
      <c r="X13" s="54"/>
      <c r="Y13" s="54"/>
    </row>
    <row r="14" spans="1:25" ht="18.5" x14ac:dyDescent="0.45">
      <c r="A14" s="54"/>
      <c r="B14" s="54"/>
      <c r="C14" s="49" t="s">
        <v>165</v>
      </c>
      <c r="D14" s="50"/>
      <c r="E14" s="50"/>
      <c r="F14" s="50"/>
      <c r="G14" s="54"/>
      <c r="H14" s="49" t="s">
        <v>4</v>
      </c>
      <c r="I14" s="50"/>
      <c r="J14" s="50"/>
      <c r="K14" s="50"/>
      <c r="L14" s="54"/>
      <c r="M14" s="52" t="s">
        <v>221</v>
      </c>
      <c r="N14" s="53"/>
      <c r="O14" s="53"/>
      <c r="P14" s="53"/>
      <c r="Q14" s="53"/>
      <c r="R14" s="53"/>
      <c r="S14" s="53"/>
      <c r="T14" s="54"/>
      <c r="U14" s="54"/>
      <c r="V14" s="54"/>
      <c r="W14" s="54"/>
      <c r="X14" s="54"/>
      <c r="Y14" s="54"/>
    </row>
    <row r="15" spans="1:25" ht="20.399999999999999" customHeight="1" x14ac:dyDescent="0.35">
      <c r="A15" s="54"/>
      <c r="B15" s="54"/>
      <c r="C15" s="161"/>
      <c r="D15" s="47" t="s">
        <v>169</v>
      </c>
      <c r="E15" s="40"/>
      <c r="F15" s="40"/>
      <c r="G15" s="54"/>
      <c r="H15" s="161"/>
      <c r="I15" s="47" t="s">
        <v>208</v>
      </c>
      <c r="J15" s="48"/>
      <c r="K15" s="48"/>
      <c r="L15" s="54"/>
      <c r="M15" s="47" t="s">
        <v>202</v>
      </c>
      <c r="N15" s="48"/>
      <c r="O15" s="177"/>
      <c r="P15" s="174"/>
      <c r="Q15" s="174"/>
      <c r="R15" s="174"/>
      <c r="S15" s="175"/>
      <c r="T15" s="54"/>
      <c r="U15" s="54"/>
      <c r="V15" s="54"/>
      <c r="W15" s="54"/>
      <c r="X15" s="54"/>
      <c r="Y15" s="54"/>
    </row>
    <row r="16" spans="1:25" ht="20.399999999999999" customHeight="1" x14ac:dyDescent="0.35">
      <c r="A16" s="54"/>
      <c r="B16" s="54"/>
      <c r="C16" s="161"/>
      <c r="D16" s="47" t="s">
        <v>168</v>
      </c>
      <c r="E16" s="40"/>
      <c r="F16" s="40"/>
      <c r="G16" s="54"/>
      <c r="H16" s="161"/>
      <c r="I16" s="47" t="s">
        <v>209</v>
      </c>
      <c r="J16" s="48"/>
      <c r="K16" s="48"/>
      <c r="L16" s="54"/>
      <c r="M16" s="47" t="s">
        <v>203</v>
      </c>
      <c r="N16" s="51"/>
      <c r="O16" s="173"/>
      <c r="P16" s="174"/>
      <c r="Q16" s="174"/>
      <c r="R16" s="174"/>
      <c r="S16" s="175"/>
      <c r="T16" s="54"/>
      <c r="U16" s="54"/>
      <c r="V16" s="54"/>
      <c r="W16" s="54"/>
      <c r="X16" s="54"/>
      <c r="Y16" s="54"/>
    </row>
    <row r="17" spans="1:25" ht="19.5" x14ac:dyDescent="0.35">
      <c r="A17" s="54"/>
      <c r="B17" s="54"/>
      <c r="C17" s="161"/>
      <c r="D17" s="47" t="s">
        <v>167</v>
      </c>
      <c r="E17" s="40"/>
      <c r="F17" s="40"/>
      <c r="G17" s="54"/>
      <c r="H17" s="161"/>
      <c r="I17" s="47" t="s">
        <v>210</v>
      </c>
      <c r="J17" s="48"/>
      <c r="K17" s="48"/>
      <c r="L17" s="54"/>
      <c r="M17" s="47" t="s">
        <v>204</v>
      </c>
      <c r="N17" s="48"/>
      <c r="O17" s="173"/>
      <c r="P17" s="174"/>
      <c r="Q17" s="174"/>
      <c r="R17" s="174"/>
      <c r="S17" s="175"/>
      <c r="T17" s="54"/>
      <c r="U17" s="54"/>
      <c r="V17" s="54"/>
      <c r="W17" s="54"/>
      <c r="X17" s="54"/>
      <c r="Y17" s="54"/>
    </row>
    <row r="18" spans="1:25" ht="19.5" x14ac:dyDescent="0.35">
      <c r="A18" s="54"/>
      <c r="B18" s="54"/>
      <c r="C18" s="161"/>
      <c r="D18" s="47" t="s">
        <v>166</v>
      </c>
      <c r="E18" s="40"/>
      <c r="F18" s="40"/>
      <c r="G18" s="54"/>
      <c r="H18" s="161"/>
      <c r="I18" s="47" t="s">
        <v>211</v>
      </c>
      <c r="J18" s="48"/>
      <c r="K18" s="48"/>
      <c r="L18" s="54"/>
      <c r="M18" s="47" t="s">
        <v>207</v>
      </c>
      <c r="N18" s="45"/>
      <c r="O18" s="173"/>
      <c r="P18" s="174"/>
      <c r="Q18" s="174"/>
      <c r="R18" s="174"/>
      <c r="S18" s="175"/>
      <c r="T18" s="54"/>
      <c r="U18" s="54"/>
      <c r="V18" s="54"/>
      <c r="W18" s="54"/>
      <c r="X18" s="54"/>
      <c r="Y18" s="54"/>
    </row>
    <row r="19" spans="1:25" x14ac:dyDescent="0.35">
      <c r="A19" s="54"/>
      <c r="B19" s="54"/>
      <c r="C19" s="54"/>
      <c r="D19" s="54"/>
      <c r="E19" s="54"/>
      <c r="F19" s="54"/>
      <c r="G19" s="54"/>
      <c r="H19" s="54"/>
      <c r="I19" s="54"/>
      <c r="J19" s="54"/>
      <c r="K19" s="54"/>
      <c r="L19" s="54"/>
      <c r="M19" s="54"/>
      <c r="N19" s="54"/>
      <c r="O19" s="54"/>
      <c r="P19" s="54"/>
      <c r="Q19" s="54"/>
      <c r="R19" s="54"/>
      <c r="S19" s="54"/>
      <c r="T19" s="54"/>
      <c r="U19" s="54"/>
      <c r="V19" s="54"/>
      <c r="W19" s="54"/>
      <c r="X19" s="54"/>
      <c r="Y19" s="54"/>
    </row>
    <row r="20" spans="1:25" x14ac:dyDescent="0.35">
      <c r="A20" s="54"/>
      <c r="B20" s="54"/>
      <c r="C20" s="54"/>
      <c r="D20" s="54"/>
      <c r="E20" s="54"/>
      <c r="F20" s="54"/>
      <c r="G20" s="54"/>
      <c r="H20" s="54"/>
      <c r="I20" s="54"/>
      <c r="J20" s="54"/>
      <c r="K20" s="54"/>
      <c r="L20" s="54"/>
      <c r="M20" s="54"/>
      <c r="N20" s="54"/>
      <c r="O20" s="54"/>
      <c r="P20" s="54"/>
      <c r="Q20" s="54"/>
      <c r="R20" s="54"/>
      <c r="S20" s="54"/>
      <c r="T20" s="54"/>
      <c r="U20" s="54"/>
      <c r="V20" s="54"/>
      <c r="W20" s="54"/>
      <c r="X20" s="54"/>
      <c r="Y20" s="54"/>
    </row>
    <row r="21" spans="1:25" x14ac:dyDescent="0.35">
      <c r="A21" s="54"/>
      <c r="B21" s="54"/>
      <c r="C21" s="54"/>
      <c r="D21" s="54"/>
      <c r="E21" s="54"/>
      <c r="F21" s="54"/>
      <c r="G21" s="54"/>
      <c r="H21" s="54"/>
      <c r="I21" s="54"/>
      <c r="J21" s="54"/>
      <c r="K21" s="54"/>
      <c r="L21" s="54"/>
      <c r="M21" s="54"/>
      <c r="N21" s="54"/>
      <c r="O21" s="54"/>
      <c r="P21" s="54"/>
      <c r="Q21" s="54"/>
      <c r="R21" s="54"/>
      <c r="S21" s="54"/>
      <c r="T21" s="54"/>
      <c r="U21" s="54"/>
      <c r="V21" s="54"/>
      <c r="W21" s="54"/>
      <c r="X21" s="54"/>
      <c r="Y21" s="54"/>
    </row>
    <row r="22" spans="1:25" ht="21" x14ac:dyDescent="0.35">
      <c r="A22" s="54"/>
      <c r="B22" s="166" t="s">
        <v>274</v>
      </c>
      <c r="C22" s="100"/>
      <c r="D22" s="100"/>
      <c r="E22" s="100"/>
      <c r="F22" s="100"/>
      <c r="G22" s="100"/>
      <c r="H22" s="100"/>
      <c r="I22" s="100"/>
      <c r="J22" s="100"/>
      <c r="K22" s="100"/>
      <c r="L22" s="100"/>
      <c r="M22" s="100"/>
      <c r="N22" s="100"/>
      <c r="O22" s="100"/>
      <c r="P22" s="100"/>
      <c r="Q22" s="100"/>
      <c r="R22" s="100"/>
      <c r="S22" s="100"/>
      <c r="T22" s="100"/>
      <c r="U22" s="100"/>
      <c r="V22" s="100"/>
      <c r="W22" s="100"/>
      <c r="X22" s="100"/>
      <c r="Y22" s="54"/>
    </row>
    <row r="23" spans="1:25" x14ac:dyDescent="0.35">
      <c r="A23" s="54"/>
      <c r="B23" s="167" t="s">
        <v>275</v>
      </c>
      <c r="C23" s="100"/>
      <c r="D23" s="100"/>
      <c r="E23" s="100"/>
      <c r="F23" s="100"/>
      <c r="G23" s="100"/>
      <c r="H23" s="100"/>
      <c r="I23" s="100"/>
      <c r="J23" s="100"/>
      <c r="K23" s="100"/>
      <c r="L23" s="100"/>
      <c r="M23" s="100"/>
      <c r="N23" s="100"/>
      <c r="O23" s="100"/>
      <c r="P23" s="100"/>
      <c r="Q23" s="100"/>
      <c r="R23" s="100"/>
      <c r="S23" s="100"/>
      <c r="T23" s="100"/>
      <c r="U23" s="100"/>
      <c r="V23" s="100"/>
      <c r="W23" s="100"/>
      <c r="X23" s="100"/>
      <c r="Y23" s="54"/>
    </row>
    <row r="24" spans="1:25" x14ac:dyDescent="0.35">
      <c r="A24" s="54"/>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54"/>
    </row>
    <row r="25" spans="1:25" x14ac:dyDescent="0.35">
      <c r="A25" s="54"/>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54"/>
    </row>
    <row r="26" spans="1:25" x14ac:dyDescent="0.35">
      <c r="A26" s="54"/>
      <c r="B26" s="54"/>
      <c r="C26" s="54"/>
      <c r="D26" s="54"/>
      <c r="E26" s="54"/>
      <c r="F26" s="54"/>
      <c r="G26" s="54"/>
      <c r="H26" s="54"/>
      <c r="I26" s="54"/>
      <c r="J26" s="54"/>
      <c r="K26" s="54"/>
      <c r="L26" s="54"/>
      <c r="M26" s="54"/>
      <c r="N26" s="54"/>
      <c r="O26" s="54"/>
      <c r="P26" s="54"/>
      <c r="Q26" s="54"/>
      <c r="R26" s="54"/>
      <c r="S26" s="54"/>
      <c r="T26" s="54"/>
      <c r="U26" s="54"/>
      <c r="V26" s="54"/>
      <c r="W26" s="54"/>
      <c r="X26" s="54"/>
      <c r="Y26" s="54"/>
    </row>
    <row r="27" spans="1:25" x14ac:dyDescent="0.35">
      <c r="A27" s="54"/>
      <c r="B27" s="54"/>
      <c r="C27" s="54"/>
      <c r="D27" s="54"/>
      <c r="E27" s="54"/>
      <c r="F27" s="54"/>
      <c r="G27" s="54"/>
      <c r="H27" s="54"/>
      <c r="I27" s="54"/>
      <c r="J27" s="54"/>
      <c r="K27" s="54"/>
      <c r="L27" s="54"/>
      <c r="M27" s="54"/>
      <c r="N27" s="54"/>
      <c r="O27" s="54"/>
      <c r="P27" s="54"/>
      <c r="Q27" s="54"/>
      <c r="R27" s="54"/>
      <c r="S27" s="54"/>
      <c r="T27" s="54"/>
      <c r="U27" s="54"/>
      <c r="V27" s="54"/>
      <c r="W27" s="54"/>
      <c r="X27" s="54"/>
      <c r="Y27" s="54"/>
    </row>
    <row r="28" spans="1:25" x14ac:dyDescent="0.35">
      <c r="A28" s="54"/>
      <c r="B28" s="54"/>
      <c r="C28" s="54"/>
      <c r="D28" s="54"/>
      <c r="E28" s="54"/>
      <c r="F28" s="54"/>
      <c r="G28" s="54"/>
      <c r="H28" s="54"/>
      <c r="I28" s="54"/>
      <c r="J28" s="54"/>
      <c r="K28" s="54"/>
      <c r="L28" s="54"/>
      <c r="M28" s="54"/>
      <c r="N28" s="54"/>
      <c r="O28" s="54"/>
      <c r="P28" s="54"/>
      <c r="Q28" s="54"/>
      <c r="R28" s="54"/>
      <c r="S28" s="54"/>
      <c r="T28" s="54"/>
      <c r="U28" s="54"/>
      <c r="V28" s="54"/>
      <c r="W28" s="54"/>
      <c r="X28" s="54"/>
      <c r="Y28" s="54"/>
    </row>
    <row r="29" spans="1:25" x14ac:dyDescent="0.35">
      <c r="A29" s="54"/>
      <c r="B29" s="54"/>
      <c r="C29" s="54"/>
      <c r="D29" s="54"/>
      <c r="E29" s="54"/>
      <c r="F29" s="54"/>
      <c r="G29" s="54"/>
      <c r="H29" s="54"/>
      <c r="I29" s="54"/>
      <c r="J29" s="54"/>
      <c r="K29" s="54"/>
      <c r="L29" s="54"/>
      <c r="M29" s="54"/>
      <c r="N29" s="54"/>
      <c r="O29" s="54"/>
      <c r="P29" s="54"/>
      <c r="Q29" s="54"/>
      <c r="R29" s="54"/>
      <c r="S29" s="54"/>
      <c r="T29" s="54"/>
      <c r="U29" s="54"/>
      <c r="V29" s="54"/>
      <c r="W29" s="54"/>
      <c r="X29" s="54"/>
      <c r="Y29" s="54"/>
    </row>
    <row r="30" spans="1:25" x14ac:dyDescent="0.35">
      <c r="A30" s="54"/>
      <c r="B30" s="54"/>
      <c r="C30" s="54"/>
      <c r="D30" s="54"/>
      <c r="E30" s="54"/>
      <c r="F30" s="54"/>
      <c r="G30" s="54"/>
      <c r="H30" s="54"/>
      <c r="I30" s="54"/>
      <c r="J30" s="54"/>
      <c r="K30" s="54"/>
      <c r="L30" s="54"/>
      <c r="M30" s="54"/>
      <c r="N30" s="54"/>
      <c r="O30" s="54"/>
      <c r="P30" s="54"/>
      <c r="Q30" s="54"/>
      <c r="R30" s="54"/>
      <c r="S30" s="54"/>
      <c r="T30" s="54"/>
      <c r="U30" s="54"/>
      <c r="V30" s="54"/>
      <c r="W30" s="54"/>
      <c r="X30" s="54"/>
      <c r="Y30" s="54"/>
    </row>
    <row r="31" spans="1:25" x14ac:dyDescent="0.35">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35">
      <c r="A32" s="54"/>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35">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35">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35">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x14ac:dyDescent="0.35">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x14ac:dyDescent="0.35">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x14ac:dyDescent="0.35">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x14ac:dyDescent="0.35">
      <c r="A39" s="54"/>
      <c r="B39" s="54"/>
      <c r="C39" s="54"/>
      <c r="D39" s="54"/>
      <c r="E39" s="54"/>
      <c r="F39" s="54"/>
      <c r="G39" s="54"/>
      <c r="H39" s="54"/>
      <c r="I39" s="54"/>
      <c r="J39" s="54"/>
      <c r="K39" s="54"/>
      <c r="L39" s="54"/>
      <c r="M39" s="54"/>
      <c r="N39" s="54"/>
      <c r="O39" s="54"/>
      <c r="P39" s="54"/>
      <c r="Q39" s="54"/>
      <c r="R39" s="54"/>
      <c r="S39" s="54"/>
      <c r="T39" s="54"/>
      <c r="U39" s="54"/>
      <c r="V39" s="54"/>
      <c r="W39" s="54"/>
      <c r="X39" s="54"/>
      <c r="Y39" s="54"/>
    </row>
    <row r="40" spans="1:25" x14ac:dyDescent="0.35">
      <c r="A40" s="54"/>
      <c r="B40" s="54"/>
      <c r="C40" s="54"/>
      <c r="D40" s="54"/>
      <c r="E40" s="54"/>
      <c r="F40" s="54"/>
      <c r="G40" s="54"/>
      <c r="H40" s="54"/>
      <c r="I40" s="54"/>
      <c r="J40" s="54"/>
      <c r="K40" s="54"/>
      <c r="L40" s="54"/>
      <c r="M40" s="54"/>
      <c r="N40" s="54"/>
      <c r="O40" s="54"/>
      <c r="P40" s="54"/>
      <c r="Q40" s="54"/>
      <c r="R40" s="54"/>
      <c r="S40" s="54"/>
      <c r="T40" s="54"/>
      <c r="U40" s="54"/>
      <c r="V40" s="54"/>
      <c r="W40" s="54"/>
      <c r="X40" s="54"/>
      <c r="Y40" s="54"/>
    </row>
    <row r="41" spans="1:25" x14ac:dyDescent="0.35">
      <c r="A41" s="54"/>
      <c r="B41" s="54"/>
      <c r="C41" s="54"/>
      <c r="D41" s="54"/>
      <c r="E41" s="54"/>
      <c r="F41" s="54"/>
      <c r="G41" s="54"/>
      <c r="H41" s="54"/>
      <c r="I41" s="54"/>
      <c r="J41" s="54"/>
      <c r="K41" s="54"/>
      <c r="L41" s="54"/>
      <c r="M41" s="54"/>
      <c r="N41" s="54"/>
      <c r="O41" s="54"/>
      <c r="P41" s="54"/>
      <c r="Q41" s="54"/>
      <c r="R41" s="54"/>
      <c r="S41" s="54"/>
      <c r="T41" s="54"/>
      <c r="U41" s="54"/>
      <c r="V41" s="54"/>
      <c r="W41" s="54"/>
      <c r="X41" s="54"/>
      <c r="Y41" s="54"/>
    </row>
    <row r="42" spans="1:25" x14ac:dyDescent="0.35">
      <c r="A42" s="54"/>
      <c r="B42" s="54"/>
      <c r="C42" s="54"/>
      <c r="D42" s="54"/>
      <c r="E42" s="54"/>
      <c r="F42" s="54"/>
      <c r="G42" s="54"/>
      <c r="H42" s="54"/>
      <c r="I42" s="54"/>
      <c r="J42" s="54"/>
      <c r="K42" s="54"/>
      <c r="L42" s="54"/>
      <c r="M42" s="54"/>
      <c r="N42" s="54"/>
      <c r="O42" s="54"/>
      <c r="P42" s="54"/>
      <c r="Q42" s="54"/>
      <c r="R42" s="54"/>
      <c r="S42" s="54"/>
      <c r="T42" s="54"/>
      <c r="U42" s="54"/>
      <c r="V42" s="54"/>
      <c r="W42" s="54"/>
      <c r="X42" s="54"/>
      <c r="Y42" s="54"/>
    </row>
    <row r="43" spans="1:25" x14ac:dyDescent="0.35">
      <c r="A43" s="54"/>
      <c r="B43" s="54"/>
      <c r="C43" s="54"/>
      <c r="D43" s="54"/>
      <c r="E43" s="54"/>
      <c r="F43" s="54"/>
      <c r="G43" s="54"/>
      <c r="H43" s="54"/>
      <c r="I43" s="54"/>
      <c r="J43" s="54"/>
      <c r="K43" s="54"/>
      <c r="L43" s="54"/>
      <c r="M43" s="54"/>
      <c r="N43" s="54"/>
      <c r="O43" s="54"/>
      <c r="P43" s="54"/>
      <c r="Q43" s="54"/>
      <c r="R43" s="54"/>
      <c r="S43" s="54"/>
      <c r="T43" s="54"/>
      <c r="U43" s="54"/>
      <c r="V43" s="54"/>
      <c r="W43" s="54"/>
      <c r="X43" s="54"/>
      <c r="Y43" s="54"/>
    </row>
    <row r="44" spans="1:25" x14ac:dyDescent="0.35">
      <c r="A44" s="54"/>
      <c r="B44" s="54"/>
      <c r="C44" s="54"/>
      <c r="D44" s="54"/>
      <c r="E44" s="54"/>
      <c r="F44" s="54"/>
      <c r="G44" s="54"/>
      <c r="H44" s="54"/>
      <c r="I44" s="54"/>
      <c r="J44" s="54"/>
      <c r="K44" s="54"/>
      <c r="L44" s="54"/>
      <c r="M44" s="54"/>
      <c r="N44" s="54"/>
      <c r="O44" s="54"/>
      <c r="P44" s="54"/>
      <c r="Q44" s="54"/>
      <c r="R44" s="54"/>
      <c r="S44" s="54"/>
      <c r="T44" s="54"/>
      <c r="U44" s="54"/>
      <c r="V44" s="54"/>
      <c r="W44" s="54"/>
      <c r="X44" s="54"/>
      <c r="Y44" s="54"/>
    </row>
    <row r="45" spans="1:25" x14ac:dyDescent="0.35">
      <c r="A45" s="54"/>
      <c r="B45" s="54"/>
      <c r="C45" s="54"/>
      <c r="D45" s="54"/>
      <c r="E45" s="54"/>
      <c r="F45" s="54"/>
      <c r="G45" s="54"/>
      <c r="H45" s="54"/>
      <c r="I45" s="54"/>
      <c r="J45" s="54"/>
      <c r="K45" s="54"/>
      <c r="L45" s="54"/>
      <c r="M45" s="54"/>
      <c r="N45" s="54"/>
      <c r="O45" s="54"/>
      <c r="P45" s="54"/>
      <c r="Q45" s="54"/>
      <c r="R45" s="54"/>
      <c r="S45" s="54"/>
      <c r="T45" s="54"/>
      <c r="U45" s="54"/>
      <c r="V45" s="54"/>
      <c r="W45" s="54"/>
      <c r="X45" s="54"/>
      <c r="Y45" s="54"/>
    </row>
    <row r="46" spans="1:25" x14ac:dyDescent="0.35">
      <c r="A46" s="54"/>
      <c r="B46" s="54"/>
      <c r="C46" s="54"/>
      <c r="D46" s="54"/>
      <c r="E46" s="54"/>
      <c r="F46" s="54"/>
      <c r="G46" s="54"/>
      <c r="H46" s="54"/>
      <c r="I46" s="54"/>
      <c r="J46" s="54"/>
      <c r="K46" s="54"/>
      <c r="L46" s="54"/>
      <c r="M46" s="54"/>
      <c r="N46" s="54"/>
      <c r="O46" s="54"/>
      <c r="P46" s="54"/>
      <c r="Q46" s="54"/>
      <c r="R46" s="54"/>
      <c r="S46" s="54"/>
      <c r="T46" s="54"/>
      <c r="U46" s="54"/>
      <c r="V46" s="54"/>
      <c r="W46" s="54"/>
      <c r="X46" s="54"/>
      <c r="Y46" s="54"/>
    </row>
    <row r="47" spans="1:25" x14ac:dyDescent="0.35">
      <c r="A47" s="54"/>
      <c r="B47" s="54"/>
      <c r="C47" s="54"/>
      <c r="D47" s="54"/>
      <c r="E47" s="54"/>
      <c r="F47" s="54"/>
      <c r="G47" s="54"/>
      <c r="H47" s="54"/>
      <c r="I47" s="54"/>
      <c r="J47" s="54"/>
      <c r="K47" s="54"/>
      <c r="L47" s="54"/>
      <c r="M47" s="54"/>
      <c r="N47" s="54"/>
      <c r="O47" s="54"/>
      <c r="P47" s="54"/>
      <c r="Q47" s="54"/>
      <c r="R47" s="54"/>
      <c r="S47" s="54"/>
      <c r="T47" s="54"/>
      <c r="U47" s="54"/>
      <c r="V47" s="54"/>
      <c r="W47" s="54"/>
      <c r="X47" s="54"/>
      <c r="Y47" s="54"/>
    </row>
    <row r="48" spans="1:25" x14ac:dyDescent="0.35">
      <c r="A48" s="54"/>
      <c r="B48" s="54"/>
      <c r="C48" s="54"/>
      <c r="D48" s="54"/>
      <c r="E48" s="54"/>
      <c r="F48" s="54"/>
      <c r="G48" s="54"/>
      <c r="H48" s="54"/>
      <c r="I48" s="54"/>
      <c r="J48" s="54"/>
      <c r="K48" s="54"/>
      <c r="L48" s="54"/>
      <c r="M48" s="54"/>
      <c r="N48" s="54"/>
      <c r="O48" s="54"/>
      <c r="P48" s="54"/>
      <c r="Q48" s="54"/>
      <c r="R48" s="54"/>
      <c r="S48" s="54"/>
      <c r="T48" s="54"/>
      <c r="U48" s="54"/>
      <c r="V48" s="54"/>
      <c r="W48" s="54"/>
      <c r="X48" s="54"/>
      <c r="Y48" s="54"/>
    </row>
    <row r="49" spans="1:25" x14ac:dyDescent="0.35">
      <c r="A49" s="54"/>
      <c r="B49" s="54"/>
      <c r="C49" s="54"/>
      <c r="D49" s="54"/>
      <c r="E49" s="54"/>
      <c r="F49" s="54"/>
      <c r="G49" s="54"/>
      <c r="H49" s="54"/>
      <c r="I49" s="54"/>
      <c r="J49" s="54"/>
      <c r="K49" s="54"/>
      <c r="L49" s="54"/>
      <c r="M49" s="54"/>
      <c r="N49" s="54"/>
      <c r="O49" s="54"/>
      <c r="P49" s="54"/>
      <c r="Q49" s="54"/>
      <c r="R49" s="54"/>
      <c r="S49" s="54"/>
      <c r="T49" s="54"/>
      <c r="U49" s="54"/>
      <c r="V49" s="54"/>
      <c r="W49" s="54"/>
      <c r="X49" s="54"/>
      <c r="Y49" s="54"/>
    </row>
    <row r="50" spans="1:25" x14ac:dyDescent="0.35">
      <c r="A50" s="54"/>
      <c r="B50" s="54"/>
      <c r="C50" s="54"/>
      <c r="D50" s="54"/>
      <c r="E50" s="54"/>
      <c r="F50" s="54"/>
      <c r="G50" s="54"/>
      <c r="H50" s="54"/>
      <c r="I50" s="54"/>
      <c r="J50" s="54"/>
      <c r="K50" s="54"/>
      <c r="L50" s="54"/>
      <c r="M50" s="54"/>
      <c r="N50" s="54"/>
      <c r="O50" s="54"/>
      <c r="P50" s="54"/>
      <c r="Q50" s="54"/>
      <c r="R50" s="54"/>
      <c r="S50" s="54"/>
      <c r="T50" s="54"/>
      <c r="U50" s="54"/>
      <c r="V50" s="54"/>
      <c r="W50" s="54"/>
      <c r="X50" s="54"/>
      <c r="Y50" s="54"/>
    </row>
    <row r="51" spans="1:25" x14ac:dyDescent="0.35">
      <c r="A51" s="54"/>
      <c r="B51" s="54"/>
      <c r="C51" s="54"/>
      <c r="D51" s="54"/>
      <c r="E51" s="54"/>
      <c r="F51" s="54"/>
      <c r="G51" s="54"/>
      <c r="H51" s="54"/>
      <c r="I51" s="54"/>
      <c r="J51" s="54"/>
      <c r="K51" s="54"/>
      <c r="L51" s="54"/>
      <c r="M51" s="54"/>
      <c r="N51" s="54"/>
      <c r="O51" s="54"/>
      <c r="P51" s="54"/>
      <c r="Q51" s="54"/>
      <c r="R51" s="54"/>
      <c r="S51" s="54"/>
      <c r="T51" s="54"/>
      <c r="U51" s="54"/>
      <c r="V51" s="54"/>
      <c r="W51" s="54"/>
      <c r="X51" s="54"/>
      <c r="Y51" s="54"/>
    </row>
    <row r="52" spans="1:25" x14ac:dyDescent="0.35">
      <c r="A52" s="54"/>
      <c r="B52" s="54"/>
      <c r="C52" s="54"/>
      <c r="D52" s="54"/>
      <c r="E52" s="54"/>
      <c r="F52" s="54"/>
      <c r="G52" s="54"/>
      <c r="H52" s="54"/>
      <c r="I52" s="54"/>
      <c r="J52" s="54"/>
      <c r="K52" s="54"/>
      <c r="L52" s="54"/>
      <c r="M52" s="54"/>
      <c r="N52" s="54"/>
      <c r="O52" s="54"/>
      <c r="P52" s="54"/>
      <c r="Q52" s="54"/>
      <c r="R52" s="54"/>
      <c r="S52" s="54"/>
      <c r="T52" s="54"/>
      <c r="U52" s="54"/>
      <c r="V52" s="54"/>
      <c r="W52" s="54"/>
      <c r="X52" s="54"/>
      <c r="Y52" s="54"/>
    </row>
    <row r="53" spans="1:25" x14ac:dyDescent="0.35">
      <c r="A53" s="54"/>
      <c r="B53" s="54"/>
      <c r="C53" s="54"/>
      <c r="D53" s="54"/>
      <c r="E53" s="54"/>
      <c r="F53" s="54"/>
      <c r="G53" s="54"/>
      <c r="H53" s="54"/>
      <c r="I53" s="54"/>
      <c r="J53" s="54"/>
      <c r="K53" s="54"/>
      <c r="L53" s="54"/>
      <c r="M53" s="54"/>
      <c r="N53" s="54"/>
      <c r="O53" s="54"/>
      <c r="P53" s="54"/>
      <c r="Q53" s="54"/>
      <c r="R53" s="54"/>
      <c r="S53" s="54"/>
      <c r="T53" s="54"/>
      <c r="U53" s="54"/>
      <c r="V53" s="54"/>
      <c r="W53" s="54"/>
      <c r="X53" s="54"/>
      <c r="Y53" s="54"/>
    </row>
    <row r="54" spans="1:25" x14ac:dyDescent="0.35">
      <c r="A54" s="54"/>
      <c r="B54" s="54"/>
      <c r="C54" s="54"/>
      <c r="D54" s="54"/>
      <c r="E54" s="54"/>
      <c r="F54" s="54"/>
      <c r="G54" s="54"/>
      <c r="H54" s="54"/>
      <c r="I54" s="54"/>
      <c r="J54" s="54"/>
      <c r="K54" s="54"/>
      <c r="L54" s="54"/>
      <c r="M54" s="54"/>
      <c r="N54" s="54"/>
      <c r="O54" s="54"/>
      <c r="P54" s="54"/>
      <c r="Q54" s="54"/>
      <c r="R54" s="54"/>
      <c r="S54" s="54"/>
      <c r="T54" s="54"/>
      <c r="U54" s="54"/>
      <c r="V54" s="54"/>
      <c r="W54" s="54"/>
      <c r="X54" s="54"/>
      <c r="Y54" s="54"/>
    </row>
    <row r="55" spans="1:25" x14ac:dyDescent="0.35">
      <c r="A55" s="54"/>
      <c r="B55" s="54"/>
      <c r="C55" s="54"/>
      <c r="D55" s="54"/>
      <c r="E55" s="54"/>
      <c r="F55" s="54"/>
      <c r="G55" s="54"/>
      <c r="H55" s="54"/>
      <c r="I55" s="54"/>
      <c r="J55" s="54"/>
      <c r="K55" s="54"/>
      <c r="L55" s="54"/>
      <c r="M55" s="54"/>
      <c r="N55" s="54"/>
      <c r="O55" s="54"/>
      <c r="P55" s="54"/>
      <c r="Q55" s="54"/>
      <c r="R55" s="54"/>
      <c r="S55" s="54"/>
      <c r="T55" s="54"/>
      <c r="U55" s="54"/>
      <c r="V55" s="54"/>
      <c r="W55" s="54"/>
      <c r="X55" s="54"/>
      <c r="Y55" s="54"/>
    </row>
    <row r="56" spans="1:25" x14ac:dyDescent="0.35">
      <c r="A56" s="54"/>
      <c r="B56" s="54"/>
      <c r="C56" s="54"/>
      <c r="D56" s="54"/>
      <c r="E56" s="54"/>
      <c r="F56" s="54"/>
      <c r="G56" s="54"/>
      <c r="H56" s="54"/>
      <c r="I56" s="54"/>
      <c r="J56" s="54"/>
      <c r="K56" s="54"/>
      <c r="L56" s="54"/>
      <c r="M56" s="54"/>
      <c r="N56" s="54"/>
      <c r="O56" s="54"/>
      <c r="P56" s="54"/>
      <c r="Q56" s="54"/>
      <c r="R56" s="54"/>
      <c r="S56" s="54"/>
      <c r="T56" s="54"/>
      <c r="U56" s="54"/>
      <c r="V56" s="54"/>
      <c r="W56" s="54"/>
      <c r="X56" s="54"/>
      <c r="Y56" s="54"/>
    </row>
    <row r="57" spans="1:25" x14ac:dyDescent="0.35">
      <c r="A57" s="54"/>
      <c r="B57" s="54"/>
      <c r="C57" s="54"/>
      <c r="D57" s="54"/>
      <c r="E57" s="54"/>
      <c r="F57" s="54"/>
      <c r="G57" s="54"/>
      <c r="H57" s="54"/>
      <c r="I57" s="54"/>
      <c r="J57" s="54"/>
      <c r="K57" s="54"/>
      <c r="L57" s="54"/>
      <c r="M57" s="54"/>
      <c r="N57" s="54"/>
      <c r="O57" s="54"/>
      <c r="P57" s="54"/>
      <c r="Q57" s="54"/>
      <c r="R57" s="54"/>
      <c r="S57" s="54"/>
      <c r="T57" s="54"/>
      <c r="U57" s="54"/>
      <c r="V57" s="54"/>
      <c r="W57" s="54"/>
      <c r="X57" s="54"/>
      <c r="Y57" s="54"/>
    </row>
    <row r="58" spans="1:25" x14ac:dyDescent="0.35">
      <c r="A58" s="54"/>
      <c r="B58" s="54"/>
      <c r="C58" s="54"/>
      <c r="D58" s="54"/>
      <c r="E58" s="54"/>
      <c r="F58" s="54"/>
      <c r="G58" s="54"/>
      <c r="H58" s="54"/>
      <c r="I58" s="54"/>
      <c r="J58" s="54"/>
      <c r="K58" s="54"/>
      <c r="L58" s="54"/>
      <c r="M58" s="54"/>
      <c r="N58" s="54"/>
      <c r="O58" s="54"/>
      <c r="P58" s="54"/>
      <c r="Q58" s="54"/>
      <c r="R58" s="54"/>
      <c r="S58" s="54"/>
      <c r="T58" s="54"/>
      <c r="U58" s="54"/>
      <c r="V58" s="54"/>
      <c r="W58" s="54"/>
      <c r="X58" s="54"/>
      <c r="Y58" s="54"/>
    </row>
  </sheetData>
  <protectedRanges>
    <protectedRange sqref="O15:S18" name="Vastaajan_tiedot_syottolomake"/>
  </protectedRanges>
  <mergeCells count="7">
    <mergeCell ref="O17:S17"/>
    <mergeCell ref="O18:S18"/>
    <mergeCell ref="C12:F12"/>
    <mergeCell ref="H12:K12"/>
    <mergeCell ref="M12:S12"/>
    <mergeCell ref="O15:S15"/>
    <mergeCell ref="O16:S16"/>
  </mergeCells>
  <conditionalFormatting sqref="C12:F12">
    <cfRule type="containsText" dxfId="35" priority="5" operator="containsText" text="Valitse">
      <formula>NOT(ISERROR(SEARCH("Valitse",C12)))</formula>
    </cfRule>
  </conditionalFormatting>
  <conditionalFormatting sqref="H12:K12">
    <cfRule type="containsText" dxfId="34" priority="3" operator="containsText" text="Valitse">
      <formula>NOT(ISERROR(SEARCH("Valitse",H12)))</formula>
    </cfRule>
  </conditionalFormatting>
  <conditionalFormatting sqref="M12">
    <cfRule type="beginsWith" dxfId="33" priority="2" operator="beginsWith" text="3">
      <formula>LEFT(M12,LEN("3"))="3"</formula>
    </cfRule>
  </conditionalFormatting>
  <conditionalFormatting sqref="M12:S12">
    <cfRule type="containsText" dxfId="32" priority="1" operator="containsText" text="puuttuu">
      <formula>NOT(ISERROR(SEARCH("puuttuu",M12)))</formula>
    </cfRule>
  </conditionalFormatting>
  <hyperlinks>
    <hyperlink ref="B23" location="Ohje!A1" display="   Pidempi ohje löytyy &quot;Ohje&quot;-välilehdeltä." xr:uid="{6D004A7F-95AE-4C84-96A1-207CF568685C}"/>
  </hyperlinks>
  <pageMargins left="0.7" right="0.7" top="0.75" bottom="0.75"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Luokka 1">
                <anchor>
                  <from>
                    <xdr:col>2</xdr:col>
                    <xdr:colOff>38100</xdr:colOff>
                    <xdr:row>13</xdr:row>
                    <xdr:rowOff>222250</xdr:rowOff>
                  </from>
                  <to>
                    <xdr:col>3</xdr:col>
                    <xdr:colOff>38100</xdr:colOff>
                    <xdr:row>15</xdr:row>
                    <xdr:rowOff>0</xdr:rowOff>
                  </to>
                </anchor>
              </controlPr>
            </control>
          </mc:Choice>
        </mc:AlternateContent>
        <mc:AlternateContent xmlns:mc="http://schemas.openxmlformats.org/markup-compatibility/2006">
          <mc:Choice Requires="x14">
            <control shapeId="1026" r:id="rId5" name="Option Button 2">
              <controlPr locked="0" defaultSize="0" autoFill="0" autoLine="0" autoPict="0" altText="Luokka 2">
                <anchor>
                  <from>
                    <xdr:col>2</xdr:col>
                    <xdr:colOff>38100</xdr:colOff>
                    <xdr:row>14</xdr:row>
                    <xdr:rowOff>254000</xdr:rowOff>
                  </from>
                  <to>
                    <xdr:col>3</xdr:col>
                    <xdr:colOff>31750</xdr:colOff>
                    <xdr:row>16</xdr:row>
                    <xdr:rowOff>0</xdr:rowOff>
                  </to>
                </anchor>
              </controlPr>
            </control>
          </mc:Choice>
        </mc:AlternateContent>
        <mc:AlternateContent xmlns:mc="http://schemas.openxmlformats.org/markup-compatibility/2006">
          <mc:Choice Requires="x14">
            <control shapeId="1027" r:id="rId6" name="Option Button 3">
              <controlPr locked="0" defaultSize="0" autoFill="0" autoLine="0" autoPict="0" altText="Luokka 3">
                <anchor>
                  <from>
                    <xdr:col>2</xdr:col>
                    <xdr:colOff>38100</xdr:colOff>
                    <xdr:row>15</xdr:row>
                    <xdr:rowOff>222250</xdr:rowOff>
                  </from>
                  <to>
                    <xdr:col>3</xdr:col>
                    <xdr:colOff>76200</xdr:colOff>
                    <xdr:row>17</xdr:row>
                    <xdr:rowOff>44450</xdr:rowOff>
                  </to>
                </anchor>
              </controlPr>
            </control>
          </mc:Choice>
        </mc:AlternateContent>
        <mc:AlternateContent xmlns:mc="http://schemas.openxmlformats.org/markup-compatibility/2006">
          <mc:Choice Requires="x14">
            <control shapeId="1028" r:id="rId7" name="Option Button 4">
              <controlPr locked="0" defaultSize="0" autoFill="0" autoLine="0" autoPict="0" altText="Luokka 4">
                <anchor>
                  <from>
                    <xdr:col>2</xdr:col>
                    <xdr:colOff>38100</xdr:colOff>
                    <xdr:row>16</xdr:row>
                    <xdr:rowOff>234950</xdr:rowOff>
                  </from>
                  <to>
                    <xdr:col>3</xdr:col>
                    <xdr:colOff>25400</xdr:colOff>
                    <xdr:row>18</xdr:row>
                    <xdr:rowOff>0</xdr:rowOff>
                  </to>
                </anchor>
              </controlPr>
            </control>
          </mc:Choice>
        </mc:AlternateContent>
        <mc:AlternateContent xmlns:mc="http://schemas.openxmlformats.org/markup-compatibility/2006">
          <mc:Choice Requires="x14">
            <control shapeId="1032" r:id="rId8" name="Check Box 8">
              <controlPr locked="0" defaultSize="0" autoFill="0" autoLine="0" autoPict="0">
                <anchor>
                  <from>
                    <xdr:col>7</xdr:col>
                    <xdr:colOff>31750</xdr:colOff>
                    <xdr:row>13</xdr:row>
                    <xdr:rowOff>190500</xdr:rowOff>
                  </from>
                  <to>
                    <xdr:col>7</xdr:col>
                    <xdr:colOff>273050</xdr:colOff>
                    <xdr:row>15</xdr:row>
                    <xdr:rowOff>63500</xdr:rowOff>
                  </to>
                </anchor>
              </controlPr>
            </control>
          </mc:Choice>
        </mc:AlternateContent>
        <mc:AlternateContent xmlns:mc="http://schemas.openxmlformats.org/markup-compatibility/2006">
          <mc:Choice Requires="x14">
            <control shapeId="1035" r:id="rId9" name="Check Box 11">
              <controlPr locked="0" defaultSize="0" autoFill="0" autoLine="0" autoPict="0">
                <anchor>
                  <from>
                    <xdr:col>7</xdr:col>
                    <xdr:colOff>31750</xdr:colOff>
                    <xdr:row>14</xdr:row>
                    <xdr:rowOff>203200</xdr:rowOff>
                  </from>
                  <to>
                    <xdr:col>8</xdr:col>
                    <xdr:colOff>0</xdr:colOff>
                    <xdr:row>16</xdr:row>
                    <xdr:rowOff>44450</xdr:rowOff>
                  </to>
                </anchor>
              </controlPr>
            </control>
          </mc:Choice>
        </mc:AlternateContent>
        <mc:AlternateContent xmlns:mc="http://schemas.openxmlformats.org/markup-compatibility/2006">
          <mc:Choice Requires="x14">
            <control shapeId="1036" r:id="rId10" name="Check Box 12">
              <controlPr locked="0" defaultSize="0" autoFill="0" autoLine="0" autoPict="0">
                <anchor>
                  <from>
                    <xdr:col>7</xdr:col>
                    <xdr:colOff>31750</xdr:colOff>
                    <xdr:row>15</xdr:row>
                    <xdr:rowOff>165100</xdr:rowOff>
                  </from>
                  <to>
                    <xdr:col>7</xdr:col>
                    <xdr:colOff>279400</xdr:colOff>
                    <xdr:row>17</xdr:row>
                    <xdr:rowOff>82550</xdr:rowOff>
                  </to>
                </anchor>
              </controlPr>
            </control>
          </mc:Choice>
        </mc:AlternateContent>
        <mc:AlternateContent xmlns:mc="http://schemas.openxmlformats.org/markup-compatibility/2006">
          <mc:Choice Requires="x14">
            <control shapeId="1037" r:id="rId11" name="Check Box 13">
              <controlPr locked="0" defaultSize="0" autoFill="0" autoLine="0" autoPict="0">
                <anchor>
                  <from>
                    <xdr:col>7</xdr:col>
                    <xdr:colOff>31750</xdr:colOff>
                    <xdr:row>16</xdr:row>
                    <xdr:rowOff>177800</xdr:rowOff>
                  </from>
                  <to>
                    <xdr:col>8</xdr:col>
                    <xdr:colOff>6350</xdr:colOff>
                    <xdr:row>18</xdr:row>
                    <xdr:rowOff>76200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E2D9-FA7B-43F3-85C8-2BD9807CF5DE}">
  <sheetPr>
    <tabColor rgb="FFFF0000"/>
  </sheetPr>
  <dimension ref="A1:L148"/>
  <sheetViews>
    <sheetView showGridLines="0" workbookViewId="0">
      <pane ySplit="6" topLeftCell="A7" activePane="bottomLeft" state="frozen"/>
      <selection activeCell="D1" sqref="D1"/>
      <selection pane="bottomLeft"/>
    </sheetView>
  </sheetViews>
  <sheetFormatPr defaultColWidth="8.90625" defaultRowHeight="14.5" x14ac:dyDescent="0.35"/>
  <cols>
    <col min="1" max="2" width="7.90625" style="1" customWidth="1"/>
    <col min="3" max="3" width="8.90625" style="1" customWidth="1"/>
    <col min="4" max="4" width="5.6328125" style="1" customWidth="1"/>
    <col min="5" max="5" width="25.1796875" style="1" customWidth="1"/>
    <col min="6" max="6" width="19.6328125" style="1" customWidth="1"/>
    <col min="7" max="7" width="126.453125" style="8" customWidth="1"/>
    <col min="8" max="8" width="10.08984375" style="1" bestFit="1" customWidth="1"/>
    <col min="9" max="9" width="9.81640625" style="1" customWidth="1"/>
    <col min="10" max="11" width="8.90625" style="1"/>
    <col min="12" max="12" width="3.36328125" style="1" customWidth="1"/>
    <col min="13" max="16384" width="8.90625" style="1"/>
  </cols>
  <sheetData>
    <row r="1" spans="1:12" ht="23.5" x14ac:dyDescent="0.35">
      <c r="A1" s="78"/>
      <c r="B1" s="78"/>
      <c r="C1" s="78"/>
      <c r="D1" s="79" t="s">
        <v>192</v>
      </c>
      <c r="E1" s="78"/>
      <c r="F1" s="78"/>
      <c r="G1" s="80"/>
      <c r="H1" s="78"/>
      <c r="I1" s="136"/>
      <c r="J1" s="136"/>
      <c r="K1" s="136"/>
      <c r="L1" s="136"/>
    </row>
    <row r="2" spans="1:12" x14ac:dyDescent="0.35">
      <c r="A2" s="78"/>
      <c r="B2" s="78"/>
      <c r="C2" s="78"/>
      <c r="D2" s="78" t="s">
        <v>258</v>
      </c>
      <c r="E2" s="78"/>
      <c r="F2" s="78"/>
      <c r="G2" s="80"/>
      <c r="H2" s="78"/>
      <c r="I2" s="136"/>
      <c r="J2" s="136"/>
      <c r="K2" s="136"/>
      <c r="L2" s="136"/>
    </row>
    <row r="3" spans="1:12" x14ac:dyDescent="0.35">
      <c r="A3" s="78"/>
      <c r="B3" s="78"/>
      <c r="C3" s="78"/>
      <c r="D3" s="81" t="s">
        <v>267</v>
      </c>
      <c r="E3" s="78"/>
      <c r="F3" s="78"/>
      <c r="G3" s="80"/>
      <c r="H3" s="78"/>
      <c r="I3" s="136"/>
      <c r="J3" s="136"/>
      <c r="K3" s="136"/>
      <c r="L3" s="136"/>
    </row>
    <row r="4" spans="1:12" x14ac:dyDescent="0.35">
      <c r="A4" s="78"/>
      <c r="B4" s="78"/>
      <c r="C4" s="78"/>
      <c r="D4" s="138" t="s">
        <v>244</v>
      </c>
      <c r="E4" s="78"/>
      <c r="F4" s="78"/>
      <c r="G4" s="80"/>
      <c r="H4" s="78"/>
      <c r="I4" s="136"/>
      <c r="J4" s="136"/>
      <c r="K4" s="136"/>
      <c r="L4" s="136"/>
    </row>
    <row r="5" spans="1:12" x14ac:dyDescent="0.35">
      <c r="A5" s="181" t="s">
        <v>276</v>
      </c>
      <c r="B5" s="181"/>
      <c r="C5" s="181"/>
      <c r="D5" s="78"/>
      <c r="E5" s="78"/>
      <c r="F5" s="78"/>
      <c r="G5" s="80"/>
      <c r="H5" s="78"/>
      <c r="I5" s="136"/>
      <c r="J5" s="136"/>
      <c r="K5" s="136"/>
      <c r="L5" s="136"/>
    </row>
    <row r="6" spans="1:12" x14ac:dyDescent="0.35">
      <c r="A6" s="76" t="s">
        <v>240</v>
      </c>
      <c r="B6" s="76" t="s">
        <v>237</v>
      </c>
      <c r="C6" s="76" t="s">
        <v>243</v>
      </c>
      <c r="D6" s="76" t="s">
        <v>242</v>
      </c>
      <c r="E6" s="76" t="s">
        <v>1</v>
      </c>
      <c r="F6" s="76" t="s">
        <v>229</v>
      </c>
      <c r="G6" s="77" t="s">
        <v>230</v>
      </c>
      <c r="H6" s="76" t="s">
        <v>231</v>
      </c>
      <c r="I6" s="136"/>
      <c r="J6" s="136"/>
      <c r="K6" s="136"/>
      <c r="L6" s="136"/>
    </row>
    <row r="7" spans="1:12" x14ac:dyDescent="0.35">
      <c r="A7" s="1" t="str">
        <f>Turvallinen_ja_toimintavarma!I5</f>
        <v>Ei kuulu</v>
      </c>
      <c r="B7" s="1" t="str">
        <f>Turvallinen_ja_toimintavarma!P5</f>
        <v/>
      </c>
      <c r="C7" s="1" t="str">
        <f>IF(AND(A7="Kuuluu",H7="Ei",B7&lt;&gt;"Extra"),"Kyllä","Ei")</f>
        <v>Ei</v>
      </c>
      <c r="D7" s="1" t="str">
        <f>IF(Turvallinen_ja_toimintavarma!N5="x","Kyllä","Ei")</f>
        <v>Ei</v>
      </c>
      <c r="E7" s="1" t="str">
        <f>IF(ISBLANK(Turvallinen_ja_toimintavarma!K5),"_Otsikkorivi",Turvallinen_ja_toimintavarma!K5)</f>
        <v>Turvallinen ja toimintavarma</v>
      </c>
      <c r="F7" s="1" t="str">
        <f>Turvallinen_ja_toimintavarma!L5</f>
        <v>_Otsikkorivi</v>
      </c>
      <c r="G7" s="8" t="str">
        <f>IF(ISBLANK(Turvallinen_ja_toimintavarma!R5),"Otsikkorivi",Turvallinen_ja_toimintavarma!R5)</f>
        <v>1. Laadukas, raakaveden laadun huomioiva, kriteerit täyttävä vedenkäsittelyprosessi</v>
      </c>
      <c r="H7" s="1" t="str">
        <f>IF(ISBLANK(Turvallinen_ja_toimintavarma!S5),"",Turvallinen_ja_toimintavarma!S5)</f>
        <v/>
      </c>
    </row>
    <row r="8" spans="1:12" x14ac:dyDescent="0.35">
      <c r="A8" s="1" t="str">
        <f>Turvallinen_ja_toimintavarma!I6</f>
        <v>Ei kuulu</v>
      </c>
      <c r="B8" s="1" t="str">
        <f>Turvallinen_ja_toimintavarma!P6</f>
        <v/>
      </c>
      <c r="C8" s="1" t="str">
        <f t="shared" ref="C8:C69" si="0">IF(AND(A8="Kuuluu",H8="Ei",B8&lt;&gt;"Extra"),"Kyllä","Ei")</f>
        <v>Ei</v>
      </c>
      <c r="D8" s="1" t="str">
        <f>IF(Turvallinen_ja_toimintavarma!N6="x","Kyllä","Ei")</f>
        <v>Kyllä</v>
      </c>
      <c r="E8" s="1" t="str">
        <f>IF(ISBLANK(Turvallinen_ja_toimintavarma!K6),"_Otsikkorivi",Turvallinen_ja_toimintavarma!K6)</f>
        <v>Turvallinen ja toimintavarma</v>
      </c>
      <c r="F8" s="1" t="str">
        <f>Turvallinen_ja_toimintavarma!L6</f>
        <v>1. Laadukas, raakaveden laadun huomioiva, kriteerit täyttävä vedenkäsittelyprosessi</v>
      </c>
      <c r="G8" s="8" t="str">
        <f>IF(ISBLANK(Turvallinen_ja_toimintavarma!R6),"Otsikkorivi",Turvallinen_ja_toimintavarma!R6)</f>
        <v>1.1 Vesilaitoksella on valmius aloittaa tai järjestää klooridesinfiointi 6 h sisällä talousvesiasetuksen (1352/2015) 20 a pykälän edellyttämällä tavalla.</v>
      </c>
      <c r="H8" s="1" t="str">
        <f>IF(ISBLANK(Turvallinen_ja_toimintavarma!S6),"",Turvallinen_ja_toimintavarma!S6)</f>
        <v/>
      </c>
    </row>
    <row r="9" spans="1:12" x14ac:dyDescent="0.35">
      <c r="A9" s="1" t="str">
        <f>Turvallinen_ja_toimintavarma!I7</f>
        <v>Ei kuulu</v>
      </c>
      <c r="B9" s="1" t="str">
        <f>Turvallinen_ja_toimintavarma!P7</f>
        <v/>
      </c>
      <c r="C9" s="1" t="str">
        <f t="shared" si="0"/>
        <v>Ei</v>
      </c>
      <c r="D9" s="1" t="str">
        <f>IF(Turvallinen_ja_toimintavarma!N7="x","Kyllä","Ei")</f>
        <v>Kyllä</v>
      </c>
      <c r="E9" s="1" t="str">
        <f>IF(ISBLANK(Turvallinen_ja_toimintavarma!K7),"_Otsikkorivi",Turvallinen_ja_toimintavarma!K7)</f>
        <v>Turvallinen ja toimintavarma</v>
      </c>
      <c r="F9" s="1" t="str">
        <f>Turvallinen_ja_toimintavarma!L7</f>
        <v>1. Laadukas, raakaveden laadun huomioiva, kriteerit täyttävä vedenkäsittelyprosessi</v>
      </c>
      <c r="G9" s="8" t="str">
        <f>IF(ISBLANK(Turvallinen_ja_toimintavarma!R7),"Otsikkorivi",Turvallinen_ja_toimintavarma!R7)</f>
        <v>1.2 Klooridesinfiointia testataan säännöllisesti.</v>
      </c>
      <c r="H9" s="1" t="str">
        <f>IF(ISBLANK(Turvallinen_ja_toimintavarma!S7),"",Turvallinen_ja_toimintavarma!S7)</f>
        <v/>
      </c>
    </row>
    <row r="10" spans="1:12" x14ac:dyDescent="0.35">
      <c r="A10" s="1" t="str">
        <f>Turvallinen_ja_toimintavarma!I8</f>
        <v>Ei kuulu</v>
      </c>
      <c r="B10" s="1" t="str">
        <f>Turvallinen_ja_toimintavarma!P8</f>
        <v/>
      </c>
      <c r="C10" s="1" t="str">
        <f t="shared" si="0"/>
        <v>Ei</v>
      </c>
      <c r="D10" s="1" t="str">
        <f>IF(Turvallinen_ja_toimintavarma!N8="x","Kyllä","Ei")</f>
        <v>Kyllä</v>
      </c>
      <c r="E10" s="1" t="str">
        <f>IF(ISBLANK(Turvallinen_ja_toimintavarma!K8),"_Otsikkorivi",Turvallinen_ja_toimintavarma!K8)</f>
        <v>Turvallinen ja toimintavarma</v>
      </c>
      <c r="F10" s="1" t="str">
        <f>Turvallinen_ja_toimintavarma!L8</f>
        <v>1. Laadukas, raakaveden laadun huomioiva, kriteerit täyttävä vedenkäsittelyprosessi</v>
      </c>
      <c r="G10" s="8" t="str">
        <f>IF(ISBLANK(Turvallinen_ja_toimintavarma!R8),"Otsikkorivi",Turvallinen_ja_toimintavarma!R8)</f>
        <v>1.3 Laatuvaatimukset täyttävä vedenlaatu (100 % näytteistä)</v>
      </c>
      <c r="H10" s="1" t="str">
        <f>IF(ISBLANK(Turvallinen_ja_toimintavarma!S8),"",Turvallinen_ja_toimintavarma!S8)</f>
        <v/>
      </c>
    </row>
    <row r="11" spans="1:12" x14ac:dyDescent="0.35">
      <c r="A11" s="1" t="str">
        <f>Turvallinen_ja_toimintavarma!I9</f>
        <v>Ei kuulu</v>
      </c>
      <c r="B11" s="1" t="str">
        <f>Turvallinen_ja_toimintavarma!P9</f>
        <v/>
      </c>
      <c r="C11" s="1" t="str">
        <f t="shared" si="0"/>
        <v>Ei</v>
      </c>
      <c r="D11" s="1" t="str">
        <f>IF(Turvallinen_ja_toimintavarma!N9="x","Kyllä","Ei")</f>
        <v>Ei</v>
      </c>
      <c r="E11" s="1" t="str">
        <f>IF(ISBLANK(Turvallinen_ja_toimintavarma!K9),"_Otsikkorivi",Turvallinen_ja_toimintavarma!K9)</f>
        <v>Turvallinen ja toimintavarma</v>
      </c>
      <c r="F11" s="1" t="str">
        <f>Turvallinen_ja_toimintavarma!L9</f>
        <v>1. Laadukas, raakaveden laadun huomioiva, kriteerit täyttävä vedenkäsittelyprosessi</v>
      </c>
      <c r="G11" s="8" t="str">
        <f>IF(ISBLANK(Turvallinen_ja_toimintavarma!R9),"Otsikkorivi",Turvallinen_ja_toimintavarma!R9)</f>
        <v>1.4 Laatutavoitteet täyttävä vedenlaatu (100 % näytteistä)</v>
      </c>
      <c r="H11" s="1" t="str">
        <f>IF(ISBLANK(Turvallinen_ja_toimintavarma!S9),"",Turvallinen_ja_toimintavarma!S9)</f>
        <v/>
      </c>
    </row>
    <row r="12" spans="1:12" ht="29" x14ac:dyDescent="0.35">
      <c r="A12" s="1" t="str">
        <f>Turvallinen_ja_toimintavarma!I10</f>
        <v>Ei kuulu</v>
      </c>
      <c r="B12" s="1" t="str">
        <f>Turvallinen_ja_toimintavarma!P10</f>
        <v/>
      </c>
      <c r="C12" s="1" t="str">
        <f t="shared" si="0"/>
        <v>Ei</v>
      </c>
      <c r="D12" s="1" t="str">
        <f>IF(Turvallinen_ja_toimintavarma!N10="x","Kyllä","Ei")</f>
        <v>Ei</v>
      </c>
      <c r="E12" s="1" t="str">
        <f>IF(ISBLANK(Turvallinen_ja_toimintavarma!K10),"_Otsikkorivi",Turvallinen_ja_toimintavarma!K10)</f>
        <v>Turvallinen ja toimintavarma</v>
      </c>
      <c r="F12" s="1" t="str">
        <f>Turvallinen_ja_toimintavarma!L10</f>
        <v>1. Laadukas, raakaveden laadun huomioiva, kriteerit täyttävä vedenkäsittelyprosessi</v>
      </c>
      <c r="G12" s="8" t="str">
        <f>IF(ISBLANK(Turvallinen_ja_toimintavarma!R10),"Otsikkorivi",Turvallinen_ja_toimintavarma!R10)</f>
        <v>1.5 Vesijohtoverkoston paineettomissa putkirikkokorjauksissa rikkoutunut putkilinjaosuus desinfioidaan tai varmistetaan verkoston mikrobiologinen puhtaus tutkimuksin ennen käyttöönottoa.</v>
      </c>
      <c r="H12" s="1" t="str">
        <f>IF(ISBLANK(Turvallinen_ja_toimintavarma!S10),"",Turvallinen_ja_toimintavarma!S10)</f>
        <v/>
      </c>
    </row>
    <row r="13" spans="1:12" ht="29" x14ac:dyDescent="0.35">
      <c r="A13" s="1" t="str">
        <f>Turvallinen_ja_toimintavarma!I11</f>
        <v>Ei kuulu</v>
      </c>
      <c r="B13" s="1" t="str">
        <f>Turvallinen_ja_toimintavarma!P11</f>
        <v/>
      </c>
      <c r="C13" s="1" t="str">
        <f t="shared" si="0"/>
        <v>Ei</v>
      </c>
      <c r="D13" s="1" t="str">
        <f>IF(Turvallinen_ja_toimintavarma!N11="x","Kyllä","Ei")</f>
        <v>Ei</v>
      </c>
      <c r="E13" s="1" t="str">
        <f>IF(ISBLANK(Turvallinen_ja_toimintavarma!K11),"_Otsikkorivi",Turvallinen_ja_toimintavarma!K11)</f>
        <v>Turvallinen ja toimintavarma</v>
      </c>
      <c r="F13" s="1" t="str">
        <f>Turvallinen_ja_toimintavarma!L11</f>
        <v>1. Laadukas, raakaveden laadun huomioiva, kriteerit täyttävä vedenkäsittelyprosessi</v>
      </c>
      <c r="G13" s="8" t="str">
        <f>IF(ISBLANK(Turvallinen_ja_toimintavarma!R11),"Otsikkorivi",Turvallinen_ja_toimintavarma!R11)</f>
        <v>1.6 Vedenjakeluverkoston näytteenottopisteiden edustavuus valvontatutkimusohjelmassa on säännöllisesti varmistettu alueelliset erityispiirteet ja WSP:n tulokset huomioon ottaen.</v>
      </c>
      <c r="H13" s="1" t="str">
        <f>IF(ISBLANK(Turvallinen_ja_toimintavarma!S11),"",Turvallinen_ja_toimintavarma!S11)</f>
        <v/>
      </c>
    </row>
    <row r="14" spans="1:12" ht="29" x14ac:dyDescent="0.35">
      <c r="A14" s="1" t="str">
        <f>Turvallinen_ja_toimintavarma!I12</f>
        <v>Ei kuulu</v>
      </c>
      <c r="B14" s="1" t="str">
        <f>Turvallinen_ja_toimintavarma!P12</f>
        <v/>
      </c>
      <c r="C14" s="1" t="str">
        <f t="shared" si="0"/>
        <v>Ei</v>
      </c>
      <c r="D14" s="1" t="str">
        <f>IF(Turvallinen_ja_toimintavarma!N12="x","Kyllä","Ei")</f>
        <v>Ei</v>
      </c>
      <c r="E14" s="1" t="str">
        <f>IF(ISBLANK(Turvallinen_ja_toimintavarma!K12),"_Otsikkorivi",Turvallinen_ja_toimintavarma!K12)</f>
        <v>Turvallinen ja toimintavarma</v>
      </c>
      <c r="F14" s="1" t="str">
        <f>Turvallinen_ja_toimintavarma!L12</f>
        <v>1. Laadukas, raakaveden laadun huomioiva, kriteerit täyttävä vedenkäsittelyprosessi</v>
      </c>
      <c r="G14" s="8" t="str">
        <f>IF(ISBLANK(Turvallinen_ja_toimintavarma!R12),"Otsikkorivi",Turvallinen_ja_toimintavarma!R12)</f>
        <v>1.7 Talousvesi desinfioidaan jatkuvatoimisesti ennen johtamista vedenjakeluverkostoon tai vesihuoltolaitos on tehnyt riskiarvion, jonka perusteella jatkuvatoimiselle talousveden desinfioinnille ei ole tarvetta</v>
      </c>
      <c r="H14" s="1" t="str">
        <f>IF(ISBLANK(Turvallinen_ja_toimintavarma!S12),"",Turvallinen_ja_toimintavarma!S12)</f>
        <v/>
      </c>
    </row>
    <row r="15" spans="1:12" ht="58" x14ac:dyDescent="0.35">
      <c r="A15" s="1" t="str">
        <f>Turvallinen_ja_toimintavarma!I13</f>
        <v>Ei kuulu</v>
      </c>
      <c r="B15" s="1" t="str">
        <f>Turvallinen_ja_toimintavarma!P13</f>
        <v/>
      </c>
      <c r="C15" s="1" t="str">
        <f t="shared" si="0"/>
        <v>Ei</v>
      </c>
      <c r="D15" s="1" t="str">
        <f>IF(Turvallinen_ja_toimintavarma!N13="x","Kyllä","Ei")</f>
        <v>Ei</v>
      </c>
      <c r="E15" s="1" t="str">
        <f>IF(ISBLANK(Turvallinen_ja_toimintavarma!K13),"_Otsikkorivi",Turvallinen_ja_toimintavarma!K13)</f>
        <v>Turvallinen ja toimintavarma</v>
      </c>
      <c r="F15" s="1" t="str">
        <f>Turvallinen_ja_toimintavarma!L13</f>
        <v>1. Laadukas, raakaveden laadun huomioiva, kriteerit täyttävä vedenkäsittelyprosessi</v>
      </c>
      <c r="G15" s="8" t="str">
        <f>IF(ISBLANK(Turvallinen_ja_toimintavarma!R13),"Otsikkorivi",Turvallinen_ja_toimintavarma!R13)</f>
        <v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v>
      </c>
      <c r="H15" s="1" t="str">
        <f>IF(ISBLANK(Turvallinen_ja_toimintavarma!S13),"",Turvallinen_ja_toimintavarma!S13)</f>
        <v/>
      </c>
    </row>
    <row r="16" spans="1:12" ht="29" x14ac:dyDescent="0.35">
      <c r="A16" s="1" t="str">
        <f>Turvallinen_ja_toimintavarma!I14</f>
        <v>Ei kuulu</v>
      </c>
      <c r="B16" s="1" t="str">
        <f>Turvallinen_ja_toimintavarma!P14</f>
        <v/>
      </c>
      <c r="C16" s="1" t="str">
        <f t="shared" si="0"/>
        <v>Ei</v>
      </c>
      <c r="D16" s="1" t="str">
        <f>IF(Turvallinen_ja_toimintavarma!N14="x","Kyllä","Ei")</f>
        <v>Kyllä</v>
      </c>
      <c r="E16" s="1" t="str">
        <f>IF(ISBLANK(Turvallinen_ja_toimintavarma!K14),"_Otsikkorivi",Turvallinen_ja_toimintavarma!K14)</f>
        <v>Turvallinen ja toimintavarma</v>
      </c>
      <c r="F16" s="1" t="str">
        <f>Turvallinen_ja_toimintavarma!L14</f>
        <v>1. Laadukas, raakaveden laadun huomioiva, kriteerit täyttävä vedenkäsittelyprosessi</v>
      </c>
      <c r="G16" s="8" t="str">
        <f>IF(ISBLANK(Turvallinen_ja_toimintavarma!R14),"Otsikkorivi",Turvallinen_ja_toimintavarma!R14)</f>
        <v>1.9 Talousveden käsittelyprosessin kriittisten toimintojen toimivuutta on varmistettu kahdentamalla (esim. laitteet, vaihtoehtoinen käsittelyprosessi/kemikaali/toimittaja)</v>
      </c>
      <c r="H16" s="1" t="str">
        <f>IF(ISBLANK(Turvallinen_ja_toimintavarma!S14),"",Turvallinen_ja_toimintavarma!S14)</f>
        <v/>
      </c>
    </row>
    <row r="17" spans="1:8" x14ac:dyDescent="0.35">
      <c r="A17" s="1" t="str">
        <f>Turvallinen_ja_toimintavarma!I15</f>
        <v>Ei kuulu</v>
      </c>
      <c r="B17" s="1" t="str">
        <f>Turvallinen_ja_toimintavarma!P15</f>
        <v/>
      </c>
      <c r="C17" s="1" t="str">
        <f t="shared" si="0"/>
        <v>Ei</v>
      </c>
      <c r="D17" s="1" t="str">
        <f>IF(Turvallinen_ja_toimintavarma!N15="x","Kyllä","Ei")</f>
        <v>Ei</v>
      </c>
      <c r="E17" s="1" t="str">
        <f>IF(ISBLANK(Turvallinen_ja_toimintavarma!K15),"_Otsikkorivi",Turvallinen_ja_toimintavarma!K15)</f>
        <v>Turvallinen ja toimintavarma</v>
      </c>
      <c r="F17" s="1" t="str">
        <f>Turvallinen_ja_toimintavarma!L15</f>
        <v>1. Laadukas, raakaveden laadun huomioiva, kriteerit täyttävä vedenkäsittelyprosessi</v>
      </c>
      <c r="G17" s="8" t="str">
        <f>IF(ISBLANK(Turvallinen_ja_toimintavarma!R15),"Otsikkorivi",Turvallinen_ja_toimintavarma!R15)</f>
        <v>1.10. Vesilaitoksella on käytössä omassa tai ulkopuolisen hallinnassa oleva verkostomalli vedenjakelun varmistamiseen ja kehittämiseen.</v>
      </c>
      <c r="H17" s="1" t="str">
        <f>IF(ISBLANK(Turvallinen_ja_toimintavarma!S15),"",Turvallinen_ja_toimintavarma!S15)</f>
        <v/>
      </c>
    </row>
    <row r="18" spans="1:8" ht="29" x14ac:dyDescent="0.35">
      <c r="A18" s="1" t="str">
        <f>Turvallinen_ja_toimintavarma!I16</f>
        <v>Ei kuulu</v>
      </c>
      <c r="B18" s="1" t="str">
        <f>Turvallinen_ja_toimintavarma!P16</f>
        <v/>
      </c>
      <c r="C18" s="1" t="str">
        <f t="shared" si="0"/>
        <v>Ei</v>
      </c>
      <c r="D18" s="1" t="str">
        <f>IF(Turvallinen_ja_toimintavarma!N16="x","Kyllä","Ei")</f>
        <v>Ei</v>
      </c>
      <c r="E18" s="1" t="str">
        <f>IF(ISBLANK(Turvallinen_ja_toimintavarma!K16),"_Otsikkorivi",Turvallinen_ja_toimintavarma!K16)</f>
        <v>Turvallinen ja toimintavarma</v>
      </c>
      <c r="F18" s="1" t="str">
        <f>Turvallinen_ja_toimintavarma!L16</f>
        <v>1. Laadukas, raakaveden laadun huomioiva, kriteerit täyttävä vedenkäsittelyprosessi</v>
      </c>
      <c r="G18" s="8" t="str">
        <f>IF(ISBLANK(Turvallinen_ja_toimintavarma!R16),"Otsikkorivi",Turvallinen_ja_toimintavarma!R16)</f>
        <v xml:space="preserve">1.11 Talousveden käsittelyprosessin poistoteho on kemiallisen saastumisen tilanteessa arvioitu ja prosessia voidaan tarvittaessa tehostaa. (esim. aktiivihiilen syöttö) </v>
      </c>
      <c r="H18" s="1" t="str">
        <f>IF(ISBLANK(Turvallinen_ja_toimintavarma!S16),"",Turvallinen_ja_toimintavarma!S16)</f>
        <v/>
      </c>
    </row>
    <row r="19" spans="1:8" x14ac:dyDescent="0.35">
      <c r="A19" s="1" t="str">
        <f>Turvallinen_ja_toimintavarma!I17</f>
        <v>Ei kuulu</v>
      </c>
      <c r="B19" s="1" t="str">
        <f>Turvallinen_ja_toimintavarma!P17</f>
        <v/>
      </c>
      <c r="C19" s="1" t="str">
        <f t="shared" si="0"/>
        <v>Ei</v>
      </c>
      <c r="D19" s="1" t="str">
        <f>IF(Turvallinen_ja_toimintavarma!N17="x","Kyllä","Ei")</f>
        <v>Ei</v>
      </c>
      <c r="E19" s="1" t="str">
        <f>IF(ISBLANK(Turvallinen_ja_toimintavarma!K17),"_Otsikkorivi",Turvallinen_ja_toimintavarma!K17)</f>
        <v>Turvallinen ja toimintavarma</v>
      </c>
      <c r="F19" s="1" t="str">
        <f>Turvallinen_ja_toimintavarma!L17</f>
        <v>_Otsikkorivi</v>
      </c>
      <c r="G19" s="8" t="str">
        <f>IF(ISBLANK(Turvallinen_ja_toimintavarma!R17),"Otsikkorivi",Turvallinen_ja_toimintavarma!R17)</f>
        <v>2. Ajantasainen varautumis- ja valmiussuunnittelu ja yhteistyö muiden toimijoiden kanssa</v>
      </c>
      <c r="H19" s="1" t="str">
        <f>IF(ISBLANK(Turvallinen_ja_toimintavarma!S17),"",Turvallinen_ja_toimintavarma!S17)</f>
        <v/>
      </c>
    </row>
    <row r="20" spans="1:8" x14ac:dyDescent="0.35">
      <c r="A20" s="1" t="str">
        <f>Turvallinen_ja_toimintavarma!I18</f>
        <v>Ei kuulu</v>
      </c>
      <c r="B20" s="1" t="str">
        <f>Turvallinen_ja_toimintavarma!P18</f>
        <v/>
      </c>
      <c r="C20" s="1" t="str">
        <f t="shared" si="0"/>
        <v>Ei</v>
      </c>
      <c r="D20" s="1" t="str">
        <f>IF(Turvallinen_ja_toimintavarma!N18="x","Kyllä","Ei")</f>
        <v>Kyllä</v>
      </c>
      <c r="E20" s="1" t="str">
        <f>IF(ISBLANK(Turvallinen_ja_toimintavarma!K18),"_Otsikkorivi",Turvallinen_ja_toimintavarma!K18)</f>
        <v>Turvallinen ja toimintavarma</v>
      </c>
      <c r="F20" s="1" t="str">
        <f>Turvallinen_ja_toimintavarma!L18</f>
        <v>2. Ajantasainen varautumis- ja valmiussuunnittelu ja yhteistyö muiden toimijoiden kanssa</v>
      </c>
      <c r="G20" s="8" t="str">
        <f>IF(ISBLANK(Turvallinen_ja_toimintavarma!R18),"Otsikkorivi",Turvallinen_ja_toimintavarma!R18)</f>
        <v>2.1 Vesihuoltolaitoksella on vähintään vuosittain arvioitava ja tarvittaessa päivitettävä varautumissuunnitelma</v>
      </c>
      <c r="H20" s="1" t="str">
        <f>IF(ISBLANK(Turvallinen_ja_toimintavarma!S18),"",Turvallinen_ja_toimintavarma!S18)</f>
        <v/>
      </c>
    </row>
    <row r="21" spans="1:8" x14ac:dyDescent="0.35">
      <c r="A21" s="1" t="str">
        <f>Turvallinen_ja_toimintavarma!I19</f>
        <v>Ei kuulu</v>
      </c>
      <c r="B21" s="1" t="str">
        <f>Turvallinen_ja_toimintavarma!P19</f>
        <v/>
      </c>
      <c r="C21" s="1" t="str">
        <f t="shared" si="0"/>
        <v>Ei</v>
      </c>
      <c r="D21" s="1" t="str">
        <f>IF(Turvallinen_ja_toimintavarma!N19="x","Kyllä","Ei")</f>
        <v>Kyllä</v>
      </c>
      <c r="E21" s="1" t="str">
        <f>IF(ISBLANK(Turvallinen_ja_toimintavarma!K19),"_Otsikkorivi",Turvallinen_ja_toimintavarma!K19)</f>
        <v>Turvallinen ja toimintavarma</v>
      </c>
      <c r="F21" s="1" t="str">
        <f>Turvallinen_ja_toimintavarma!L19</f>
        <v>2. Ajantasainen varautumis- ja valmiussuunnittelu ja yhteistyö muiden toimijoiden kanssa</v>
      </c>
      <c r="G21" s="8" t="str">
        <f>IF(ISBLANK(Turvallinen_ja_toimintavarma!R19),"Otsikkorivi",Turvallinen_ja_toimintavarma!R19)</f>
        <v>2.2 Talousveden laaturiskejä arvioidaan ja riskienhallintaa kehitetään ja sen toimivuutta seurataan systemaattisesti esim. WSP-työkalun avulla</v>
      </c>
      <c r="H21" s="1" t="str">
        <f>IF(ISBLANK(Turvallinen_ja_toimintavarma!S19),"",Turvallinen_ja_toimintavarma!S19)</f>
        <v/>
      </c>
    </row>
    <row r="22" spans="1:8" ht="29" x14ac:dyDescent="0.35">
      <c r="A22" s="1" t="str">
        <f>Turvallinen_ja_toimintavarma!I20</f>
        <v>Ei kuulu</v>
      </c>
      <c r="B22" s="1" t="str">
        <f>Turvallinen_ja_toimintavarma!P20</f>
        <v/>
      </c>
      <c r="C22" s="1" t="str">
        <f t="shared" si="0"/>
        <v>Ei</v>
      </c>
      <c r="D22" s="1" t="str">
        <f>IF(Turvallinen_ja_toimintavarma!N20="x","Kyllä","Ei")</f>
        <v>Kyllä</v>
      </c>
      <c r="E22" s="1" t="str">
        <f>IF(ISBLANK(Turvallinen_ja_toimintavarma!K20),"_Otsikkorivi",Turvallinen_ja_toimintavarma!K20)</f>
        <v>Turvallinen ja toimintavarma</v>
      </c>
      <c r="F22" s="1" t="str">
        <f>Turvallinen_ja_toimintavarma!L20</f>
        <v>2. Ajantasainen varautumis- ja valmiussuunnittelu ja yhteistyö muiden toimijoiden kanssa</v>
      </c>
      <c r="G22" s="8" t="str">
        <f>IF(ISBLANK(Turvallinen_ja_toimintavarma!R20),"Otsikkorivi",Turvallinen_ja_toimintavarma!R20)</f>
        <v>2.3 Viemäröinnin ja jätevedenpuhdistuksen ympäristö- ja terveysriskejä arvioidaan ja riskienhallintaa kehitetään systemaattisesti esim. SSP-työkalun avulla</v>
      </c>
      <c r="H22" s="1" t="str">
        <f>IF(ISBLANK(Turvallinen_ja_toimintavarma!S20),"",Turvallinen_ja_toimintavarma!S20)</f>
        <v/>
      </c>
    </row>
    <row r="23" spans="1:8" x14ac:dyDescent="0.35">
      <c r="A23" s="1" t="str">
        <f>Turvallinen_ja_toimintavarma!I21</f>
        <v>Ei kuulu</v>
      </c>
      <c r="B23" s="1" t="str">
        <f>Turvallinen_ja_toimintavarma!P21</f>
        <v/>
      </c>
      <c r="C23" s="1" t="str">
        <f t="shared" si="0"/>
        <v>Ei</v>
      </c>
      <c r="D23" s="1" t="str">
        <f>IF(Turvallinen_ja_toimintavarma!N21="x","Kyllä","Ei")</f>
        <v>Kyllä</v>
      </c>
      <c r="E23" s="1" t="str">
        <f>IF(ISBLANK(Turvallinen_ja_toimintavarma!K21),"_Otsikkorivi",Turvallinen_ja_toimintavarma!K21)</f>
        <v>Turvallinen ja toimintavarma</v>
      </c>
      <c r="F23" s="1" t="str">
        <f>Turvallinen_ja_toimintavarma!L21</f>
        <v>2. Ajantasainen varautumis- ja valmiussuunnittelu ja yhteistyö muiden toimijoiden kanssa</v>
      </c>
      <c r="G23" s="8" t="str">
        <f>IF(ISBLANK(Turvallinen_ja_toimintavarma!R21),"Otsikkorivi",Turvallinen_ja_toimintavarma!R21)</f>
        <v>2.4 Vesihuoltolaitoksella on tehty häiriötilanneharjoittelu vuoden sisällä yhdessä sidosryhmien kanssa (tai 3 vuoden sisällä jos ei omaa vedentuotantoa)</v>
      </c>
      <c r="H23" s="1" t="str">
        <f>IF(ISBLANK(Turvallinen_ja_toimintavarma!S21),"",Turvallinen_ja_toimintavarma!S21)</f>
        <v/>
      </c>
    </row>
    <row r="24" spans="1:8" ht="29" x14ac:dyDescent="0.35">
      <c r="A24" s="1" t="str">
        <f>Turvallinen_ja_toimintavarma!I22</f>
        <v>Ei kuulu</v>
      </c>
      <c r="B24" s="1" t="str">
        <f>Turvallinen_ja_toimintavarma!P22</f>
        <v/>
      </c>
      <c r="C24" s="1" t="str">
        <f t="shared" si="0"/>
        <v>Ei</v>
      </c>
      <c r="D24" s="1" t="str">
        <f>IF(Turvallinen_ja_toimintavarma!N22="x","Kyllä","Ei")</f>
        <v>Kyllä</v>
      </c>
      <c r="E24" s="1" t="str">
        <f>IF(ISBLANK(Turvallinen_ja_toimintavarma!K22),"_Otsikkorivi",Turvallinen_ja_toimintavarma!K22)</f>
        <v>Turvallinen ja toimintavarma</v>
      </c>
      <c r="F24" s="1" t="str">
        <f>Turvallinen_ja_toimintavarma!L22</f>
        <v>2. Ajantasainen varautumis- ja valmiussuunnittelu ja yhteistyö muiden toimijoiden kanssa</v>
      </c>
      <c r="G24" s="8" t="str">
        <f>IF(ISBLANK(Turvallinen_ja_toimintavarma!R22),"Otsikkorivi",Turvallinen_ja_toimintavarma!R22)</f>
        <v>2.5 Vesihuoltopalvelun jatkuvuuden kannalta kriittiset perustoiminnot (esim. veden hankinta, veden käsittely, viemäröinti, jäteveden käsittely jne.) on tunnistettu.</v>
      </c>
      <c r="H24" s="1" t="str">
        <f>IF(ISBLANK(Turvallinen_ja_toimintavarma!S22),"",Turvallinen_ja_toimintavarma!S22)</f>
        <v/>
      </c>
    </row>
    <row r="25" spans="1:8" ht="29" x14ac:dyDescent="0.35">
      <c r="A25" s="1" t="str">
        <f>Turvallinen_ja_toimintavarma!I23</f>
        <v>Ei kuulu</v>
      </c>
      <c r="B25" s="1" t="str">
        <f>Turvallinen_ja_toimintavarma!P23</f>
        <v/>
      </c>
      <c r="C25" s="1" t="str">
        <f t="shared" si="0"/>
        <v>Ei</v>
      </c>
      <c r="D25" s="1" t="str">
        <f>IF(Turvallinen_ja_toimintavarma!N23="x","Kyllä","Ei")</f>
        <v>Kyllä</v>
      </c>
      <c r="E25" s="1" t="str">
        <f>IF(ISBLANK(Turvallinen_ja_toimintavarma!K23),"_Otsikkorivi",Turvallinen_ja_toimintavarma!K23)</f>
        <v>Turvallinen ja toimintavarma</v>
      </c>
      <c r="F25" s="1" t="str">
        <f>Turvallinen_ja_toimintavarma!L23</f>
        <v>2. Ajantasainen varautumis- ja valmiussuunnittelu ja yhteistyö muiden toimijoiden kanssa</v>
      </c>
      <c r="G25" s="8" t="str">
        <f>IF(ISBLANK(Turvallinen_ja_toimintavarma!R23),"Otsikkorivi",Turvallinen_ja_toimintavarma!R23)</f>
        <v>2.6 Varavedenottamot, varavesilaitokset ja/tai varavesiyhteydet ovat joko jatkuvassa käytössä tai niiden toimintavalmius varmistetaan (esim. näytteenotoin ja koekäyttämällä) säännöllisesti vähintään vuosittain.</v>
      </c>
      <c r="H25" s="1" t="str">
        <f>IF(ISBLANK(Turvallinen_ja_toimintavarma!S23),"",Turvallinen_ja_toimintavarma!S23)</f>
        <v/>
      </c>
    </row>
    <row r="26" spans="1:8" x14ac:dyDescent="0.35">
      <c r="A26" s="1" t="str">
        <f>Turvallinen_ja_toimintavarma!I24</f>
        <v>Ei kuulu</v>
      </c>
      <c r="B26" s="1" t="str">
        <f>Turvallinen_ja_toimintavarma!P24</f>
        <v/>
      </c>
      <c r="C26" s="1" t="str">
        <f t="shared" si="0"/>
        <v>Ei</v>
      </c>
      <c r="D26" s="1" t="str">
        <f>IF(Turvallinen_ja_toimintavarma!N24="x","Kyllä","Ei")</f>
        <v>Kyllä</v>
      </c>
      <c r="E26" s="1" t="str">
        <f>IF(ISBLANK(Turvallinen_ja_toimintavarma!K24),"_Otsikkorivi",Turvallinen_ja_toimintavarma!K24)</f>
        <v>Turvallinen ja toimintavarma</v>
      </c>
      <c r="F26" s="1" t="str">
        <f>Turvallinen_ja_toimintavarma!L24</f>
        <v>2. Ajantasainen varautumis- ja valmiussuunnittelu ja yhteistyö muiden toimijoiden kanssa</v>
      </c>
      <c r="G26" s="8" t="str">
        <f>IF(ISBLANK(Turvallinen_ja_toimintavarma!R24),"Otsikkorivi",Turvallinen_ja_toimintavarma!R24)</f>
        <v>2.7 Vesihuoltolaitos hallitsee riskiperusteisesti ja oikeasuhtaisesti ilmastonmuutoksen toiminnalleen aiheuttamia riskejä.</v>
      </c>
      <c r="H26" s="1" t="str">
        <f>IF(ISBLANK(Turvallinen_ja_toimintavarma!S24),"",Turvallinen_ja_toimintavarma!S24)</f>
        <v/>
      </c>
    </row>
    <row r="27" spans="1:8" x14ac:dyDescent="0.35">
      <c r="A27" s="1" t="str">
        <f>Turvallinen_ja_toimintavarma!I25</f>
        <v>Ei kuulu</v>
      </c>
      <c r="B27" s="1" t="str">
        <f>Turvallinen_ja_toimintavarma!P25</f>
        <v/>
      </c>
      <c r="C27" s="1" t="str">
        <f t="shared" si="0"/>
        <v>Ei</v>
      </c>
      <c r="D27" s="1" t="str">
        <f>IF(Turvallinen_ja_toimintavarma!N25="x","Kyllä","Ei")</f>
        <v>Kyllä</v>
      </c>
      <c r="E27" s="1" t="str">
        <f>IF(ISBLANK(Turvallinen_ja_toimintavarma!K25),"_Otsikkorivi",Turvallinen_ja_toimintavarma!K25)</f>
        <v>Turvallinen ja toimintavarma</v>
      </c>
      <c r="F27" s="1" t="str">
        <f>Turvallinen_ja_toimintavarma!L25</f>
        <v>2. Ajantasainen varautumis- ja valmiussuunnittelu ja yhteistyö muiden toimijoiden kanssa</v>
      </c>
      <c r="G27" s="8" t="str">
        <f>IF(ISBLANK(Turvallinen_ja_toimintavarma!R25),"Otsikkorivi",Turvallinen_ja_toimintavarma!R25)</f>
        <v xml:space="preserve">2.8 Toiminnan kannalta kriittisimmät automaatio- ja ICT-järjestelmät on tunnistettu ja niiden tietoturvaa hallitaan riskiperusteisesti. </v>
      </c>
      <c r="H27" s="1" t="str">
        <f>IF(ISBLANK(Turvallinen_ja_toimintavarma!S25),"",Turvallinen_ja_toimintavarma!S25)</f>
        <v/>
      </c>
    </row>
    <row r="28" spans="1:8" x14ac:dyDescent="0.35">
      <c r="A28" s="1" t="str">
        <f>Turvallinen_ja_toimintavarma!I26</f>
        <v>Ei kuulu</v>
      </c>
      <c r="B28" s="1" t="str">
        <f>Turvallinen_ja_toimintavarma!P26</f>
        <v/>
      </c>
      <c r="C28" s="1" t="str">
        <f t="shared" si="0"/>
        <v>Ei</v>
      </c>
      <c r="D28" s="1" t="str">
        <f>IF(Turvallinen_ja_toimintavarma!N26="x","Kyllä","Ei")</f>
        <v>Kyllä</v>
      </c>
      <c r="E28" s="1" t="str">
        <f>IF(ISBLANK(Turvallinen_ja_toimintavarma!K26),"_Otsikkorivi",Turvallinen_ja_toimintavarma!K26)</f>
        <v>Turvallinen ja toimintavarma</v>
      </c>
      <c r="F28" s="1" t="str">
        <f>Turvallinen_ja_toimintavarma!L26</f>
        <v>2. Ajantasainen varautumis- ja valmiussuunnittelu ja yhteistyö muiden toimijoiden kanssa</v>
      </c>
      <c r="G28" s="8" t="str">
        <f>IF(ISBLANK(Turvallinen_ja_toimintavarma!R26),"Otsikkorivi",Turvallinen_ja_toimintavarma!R26)</f>
        <v>2.9 Vesihuoltolaitos pitää henkilöstön VAP-varaukset ajan tasalla.</v>
      </c>
      <c r="H28" s="1" t="str">
        <f>IF(ISBLANK(Turvallinen_ja_toimintavarma!S26),"",Turvallinen_ja_toimintavarma!S26)</f>
        <v/>
      </c>
    </row>
    <row r="29" spans="1:8" ht="29" x14ac:dyDescent="0.35">
      <c r="A29" s="1" t="str">
        <f>Turvallinen_ja_toimintavarma!I27</f>
        <v>Ei kuulu</v>
      </c>
      <c r="B29" s="1" t="str">
        <f>Turvallinen_ja_toimintavarma!P27</f>
        <v/>
      </c>
      <c r="C29" s="1" t="str">
        <f t="shared" si="0"/>
        <v>Ei</v>
      </c>
      <c r="D29" s="1" t="str">
        <f>IF(Turvallinen_ja_toimintavarma!N27="x","Kyllä","Ei")</f>
        <v>Kyllä</v>
      </c>
      <c r="E29" s="1" t="str">
        <f>IF(ISBLANK(Turvallinen_ja_toimintavarma!K27),"_Otsikkorivi",Turvallinen_ja_toimintavarma!K27)</f>
        <v>Turvallinen ja toimintavarma</v>
      </c>
      <c r="F29" s="1" t="str">
        <f>Turvallinen_ja_toimintavarma!L27</f>
        <v>2. Ajantasainen varautumis- ja valmiussuunnittelu ja yhteistyö muiden toimijoiden kanssa</v>
      </c>
      <c r="G29" s="8" t="str">
        <f>IF(ISBLANK(Turvallinen_ja_toimintavarma!R27),"Otsikkorivi",Turvallinen_ja_toimintavarma!R27)</f>
        <v>2.10 Häiriötilanteisiin varautumisessa tehdään yhteistyötä viranomaisten, kunnan, materiaalitoimittajien, palveluntarjoajien, asiakkaiden ja muiden sidosryhmien kanssa.</v>
      </c>
      <c r="H29" s="1" t="str">
        <f>IF(ISBLANK(Turvallinen_ja_toimintavarma!S27),"",Turvallinen_ja_toimintavarma!S27)</f>
        <v/>
      </c>
    </row>
    <row r="30" spans="1:8" ht="29" x14ac:dyDescent="0.35">
      <c r="A30" s="1" t="str">
        <f>Turvallinen_ja_toimintavarma!I28</f>
        <v>Ei kuulu</v>
      </c>
      <c r="B30" s="1" t="str">
        <f>Turvallinen_ja_toimintavarma!P28</f>
        <v/>
      </c>
      <c r="C30" s="1" t="str">
        <f t="shared" si="0"/>
        <v>Ei</v>
      </c>
      <c r="D30" s="1" t="str">
        <f>IF(Turvallinen_ja_toimintavarma!N28="x","Kyllä","Ei")</f>
        <v>Ei</v>
      </c>
      <c r="E30" s="1" t="str">
        <f>IF(ISBLANK(Turvallinen_ja_toimintavarma!K28),"_Otsikkorivi",Turvallinen_ja_toimintavarma!K28)</f>
        <v>Turvallinen ja toimintavarma</v>
      </c>
      <c r="F30" s="1" t="str">
        <f>Turvallinen_ja_toimintavarma!L28</f>
        <v>2. Ajantasainen varautumis- ja valmiussuunnittelu ja yhteistyö muiden toimijoiden kanssa</v>
      </c>
      <c r="G30" s="8" t="str">
        <f>IF(ISBLANK(Turvallinen_ja_toimintavarma!R28),"Otsikkorivi",Turvallinen_ja_toimintavarma!R28)</f>
        <v>2.11 Vesihuoltolaitoksen pääasiallinen varmuusluokka on B (Talousvettä käytettävissä ≥ 60 % normaalista kulutuksesta, mikäli vedenjakelualueen pääasiallista vesilähdettä ei voida käyttää).</v>
      </c>
      <c r="H30" s="1" t="str">
        <f>IF(ISBLANK(Turvallinen_ja_toimintavarma!S28),"",Turvallinen_ja_toimintavarma!S28)</f>
        <v/>
      </c>
    </row>
    <row r="31" spans="1:8" ht="29" x14ac:dyDescent="0.35">
      <c r="A31" s="1" t="str">
        <f>Turvallinen_ja_toimintavarma!I29</f>
        <v>Ei kuulu</v>
      </c>
      <c r="B31" s="1" t="str">
        <f>Turvallinen_ja_toimintavarma!P29</f>
        <v/>
      </c>
      <c r="C31" s="1" t="str">
        <f t="shared" si="0"/>
        <v>Ei</v>
      </c>
      <c r="D31" s="1" t="str">
        <f>IF(Turvallinen_ja_toimintavarma!N29="x","Kyllä","Ei")</f>
        <v>Kyllä</v>
      </c>
      <c r="E31" s="1" t="str">
        <f>IF(ISBLANK(Turvallinen_ja_toimintavarma!K29),"_Otsikkorivi",Turvallinen_ja_toimintavarma!K29)</f>
        <v>Turvallinen ja toimintavarma</v>
      </c>
      <c r="F31" s="1" t="str">
        <f>Turvallinen_ja_toimintavarma!L29</f>
        <v>2. Ajantasainen varautumis- ja valmiussuunnittelu ja yhteistyö muiden toimijoiden kanssa</v>
      </c>
      <c r="G31" s="8" t="str">
        <f>IF(ISBLANK(Turvallinen_ja_toimintavarma!R29),"Otsikkorivi",Turvallinen_ja_toimintavarma!R29)</f>
        <v>2.11 Vesihuoltolaitoksen pääasiallinen varmuusluokka on A (Talousvettä käytettävissä ≥ 90 % normaalista kulutuksesta, mikäli vedenjakelualueen pääasiallista vesilähdettä ei voida käyttää).</v>
      </c>
      <c r="H31" s="1" t="str">
        <f>IF(ISBLANK(Turvallinen_ja_toimintavarma!S29),"",Turvallinen_ja_toimintavarma!S29)</f>
        <v/>
      </c>
    </row>
    <row r="32" spans="1:8" ht="43.5" x14ac:dyDescent="0.35">
      <c r="A32" s="1" t="str">
        <f>Turvallinen_ja_toimintavarma!I30</f>
        <v>Ei kuulu</v>
      </c>
      <c r="B32" s="1" t="str">
        <f>Turvallinen_ja_toimintavarma!P30</f>
        <v/>
      </c>
      <c r="C32" s="1" t="str">
        <f t="shared" si="0"/>
        <v>Ei</v>
      </c>
      <c r="D32" s="1" t="str">
        <f>IF(Turvallinen_ja_toimintavarma!N30="x","Kyllä","Ei")</f>
        <v>Kyllä</v>
      </c>
      <c r="E32" s="1" t="str">
        <f>IF(ISBLANK(Turvallinen_ja_toimintavarma!K30),"_Otsikkorivi",Turvallinen_ja_toimintavarma!K30)</f>
        <v>Turvallinen ja toimintavarma</v>
      </c>
      <c r="F32" s="1" t="str">
        <f>Turvallinen_ja_toimintavarma!L30</f>
        <v>2. Ajantasainen varautumis- ja valmiussuunnittelu ja yhteistyö muiden toimijoiden kanssa</v>
      </c>
      <c r="G32" s="8" t="str">
        <f>IF(ISBLANK(Turvallinen_ja_toimintavarma!R30),"Otsikkorivi",Turvallinen_ja_toimintavarma!R30)</f>
        <v>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v>
      </c>
      <c r="H32" s="1" t="str">
        <f>IF(ISBLANK(Turvallinen_ja_toimintavarma!S30),"",Turvallinen_ja_toimintavarma!S30)</f>
        <v/>
      </c>
    </row>
    <row r="33" spans="1:8" ht="43.5" x14ac:dyDescent="0.35">
      <c r="A33" s="1" t="str">
        <f>Turvallinen_ja_toimintavarma!I31</f>
        <v>Ei kuulu</v>
      </c>
      <c r="B33" s="1" t="str">
        <f>Turvallinen_ja_toimintavarma!P31</f>
        <v/>
      </c>
      <c r="C33" s="1" t="str">
        <f t="shared" si="0"/>
        <v>Ei</v>
      </c>
      <c r="D33" s="1" t="str">
        <f>IF(Turvallinen_ja_toimintavarma!N31="x","Kyllä","Ei")</f>
        <v>Kyllä</v>
      </c>
      <c r="E33" s="1" t="str">
        <f>IF(ISBLANK(Turvallinen_ja_toimintavarma!K31),"_Otsikkorivi",Turvallinen_ja_toimintavarma!K31)</f>
        <v>Turvallinen ja toimintavarma</v>
      </c>
      <c r="F33" s="1" t="str">
        <f>Turvallinen_ja_toimintavarma!L31</f>
        <v>2. Ajantasainen varautumis- ja valmiussuunnittelu ja yhteistyö muiden toimijoiden kanssa</v>
      </c>
      <c r="G33" s="8" t="str">
        <f>IF(ISBLANK(Turvallinen_ja_toimintavarma!R31),"Otsikkorivi",Turvallinen_ja_toimintavarma!R31)</f>
        <v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v>
      </c>
      <c r="H33" s="1" t="str">
        <f>IF(ISBLANK(Turvallinen_ja_toimintavarma!S31),"",Turvallinen_ja_toimintavarma!S31)</f>
        <v/>
      </c>
    </row>
    <row r="34" spans="1:8" x14ac:dyDescent="0.35">
      <c r="A34" s="1" t="str">
        <f>Turvallinen_ja_toimintavarma!I32</f>
        <v>Ei kuulu</v>
      </c>
      <c r="B34" s="1" t="str">
        <f>Turvallinen_ja_toimintavarma!P32</f>
        <v/>
      </c>
      <c r="C34" s="1" t="str">
        <f t="shared" si="0"/>
        <v>Ei</v>
      </c>
      <c r="D34" s="1" t="str">
        <f>IF(Turvallinen_ja_toimintavarma!N32="x","Kyllä","Ei")</f>
        <v>Kyllä</v>
      </c>
      <c r="E34" s="1" t="str">
        <f>IF(ISBLANK(Turvallinen_ja_toimintavarma!K32),"_Otsikkorivi",Turvallinen_ja_toimintavarma!K32)</f>
        <v>Turvallinen ja toimintavarma</v>
      </c>
      <c r="F34" s="1" t="str">
        <f>Turvallinen_ja_toimintavarma!L32</f>
        <v>2. Ajantasainen varautumis- ja valmiussuunnittelu ja yhteistyö muiden toimijoiden kanssa</v>
      </c>
      <c r="G34" s="8" t="str">
        <f>IF(ISBLANK(Turvallinen_ja_toimintavarma!R32),"Otsikkorivi",Turvallinen_ja_toimintavarma!R32)</f>
        <v xml:space="preserve">2.14 Varavoimakoneiden käyttöönotto ja toimivuus testataan säännöllisesti. </v>
      </c>
      <c r="H34" s="1" t="str">
        <f>IF(ISBLANK(Turvallinen_ja_toimintavarma!S32),"",Turvallinen_ja_toimintavarma!S32)</f>
        <v/>
      </c>
    </row>
    <row r="35" spans="1:8" ht="29" x14ac:dyDescent="0.35">
      <c r="A35" s="1" t="str">
        <f>Turvallinen_ja_toimintavarma!I33</f>
        <v>Ei kuulu</v>
      </c>
      <c r="B35" s="1" t="str">
        <f>Turvallinen_ja_toimintavarma!P33</f>
        <v/>
      </c>
      <c r="C35" s="1" t="str">
        <f t="shared" si="0"/>
        <v>Ei</v>
      </c>
      <c r="D35" s="1" t="str">
        <f>IF(Turvallinen_ja_toimintavarma!N33="x","Kyllä","Ei")</f>
        <v>Kyllä</v>
      </c>
      <c r="E35" s="1" t="str">
        <f>IF(ISBLANK(Turvallinen_ja_toimintavarma!K33),"_Otsikkorivi",Turvallinen_ja_toimintavarma!K33)</f>
        <v>Turvallinen ja toimintavarma</v>
      </c>
      <c r="F35" s="1" t="str">
        <f>Turvallinen_ja_toimintavarma!L33</f>
        <v>2. Ajantasainen varautumis- ja valmiussuunnittelu ja yhteistyö muiden toimijoiden kanssa</v>
      </c>
      <c r="G35" s="8" t="str">
        <f>IF(ISBLANK(Turvallinen_ja_toimintavarma!R33),"Otsikkorivi",Turvallinen_ja_toimintavarma!R33)</f>
        <v>2.15 Vesihuoltolaitos on selvittänyt materiaalisia yhteistyötarpeita ja -mahdollisuuksia muiden vesihuoltolaitosten kanssa. Jos yhteisiä tarpeita ja mahdollisuuksia on havaittu, on tehty yhteistyösopimuksia (esim. varavoima, vedenjakelukalusto, kemikaalit, varaosat).</v>
      </c>
      <c r="H35" s="1" t="str">
        <f>IF(ISBLANK(Turvallinen_ja_toimintavarma!S33),"",Turvallinen_ja_toimintavarma!S33)</f>
        <v/>
      </c>
    </row>
    <row r="36" spans="1:8" ht="29" x14ac:dyDescent="0.35">
      <c r="A36" s="1" t="str">
        <f>Turvallinen_ja_toimintavarma!I34</f>
        <v>Ei kuulu</v>
      </c>
      <c r="B36" s="1" t="str">
        <f>Turvallinen_ja_toimintavarma!P34</f>
        <v/>
      </c>
      <c r="C36" s="1" t="str">
        <f t="shared" si="0"/>
        <v>Ei</v>
      </c>
      <c r="D36" s="1" t="str">
        <f>IF(Turvallinen_ja_toimintavarma!N34="x","Kyllä","Ei")</f>
        <v>Kyllä</v>
      </c>
      <c r="E36" s="1" t="str">
        <f>IF(ISBLANK(Turvallinen_ja_toimintavarma!K34),"_Otsikkorivi",Turvallinen_ja_toimintavarma!K34)</f>
        <v>Turvallinen ja toimintavarma</v>
      </c>
      <c r="F36" s="1" t="str">
        <f>Turvallinen_ja_toimintavarma!L34</f>
        <v>2. Ajantasainen varautumis- ja valmiussuunnittelu ja yhteistyö muiden toimijoiden kanssa</v>
      </c>
      <c r="G36" s="8" t="str">
        <f>IF(ISBLANK(Turvallinen_ja_toimintavarma!R34),"Otsikkorivi",Turvallinen_ja_toimintavarma!R34)</f>
        <v>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v>
      </c>
      <c r="H36" s="1" t="str">
        <f>IF(ISBLANK(Turvallinen_ja_toimintavarma!S34),"",Turvallinen_ja_toimintavarma!S34)</f>
        <v/>
      </c>
    </row>
    <row r="37" spans="1:8" ht="29" x14ac:dyDescent="0.35">
      <c r="A37" s="1" t="str">
        <f>Turvallinen_ja_toimintavarma!I35</f>
        <v>Ei kuulu</v>
      </c>
      <c r="B37" s="1" t="str">
        <f>Turvallinen_ja_toimintavarma!P35</f>
        <v/>
      </c>
      <c r="C37" s="1" t="str">
        <f t="shared" si="0"/>
        <v>Ei</v>
      </c>
      <c r="D37" s="1" t="str">
        <f>IF(Turvallinen_ja_toimintavarma!N35="x","Kyllä","Ei")</f>
        <v>Kyllä</v>
      </c>
      <c r="E37" s="1" t="str">
        <f>IF(ISBLANK(Turvallinen_ja_toimintavarma!K35),"_Otsikkorivi",Turvallinen_ja_toimintavarma!K35)</f>
        <v>Turvallinen ja toimintavarma</v>
      </c>
      <c r="F37" s="1" t="str">
        <f>Turvallinen_ja_toimintavarma!L35</f>
        <v>2. Ajantasainen varautumis- ja valmiussuunnittelu ja yhteistyö muiden toimijoiden kanssa</v>
      </c>
      <c r="G37" s="8" t="str">
        <f>IF(ISBLANK(Turvallinen_ja_toimintavarma!R35),"Otsikkorivi",Turvallinen_ja_toimintavarma!R35)</f>
        <v>2.17 On selvitetty mahdollisuuksia ja tarvetta vesihuoltolaitosten välisiin olennaisiin normaali/poikkeustilanteen verkostoyhteyksiin ja jos tarve on tunnistettu, on tehty sopimukset, rakennettu yhteydet sekä sovittu käytännöistä.</v>
      </c>
      <c r="H37" s="1" t="str">
        <f>IF(ISBLANK(Turvallinen_ja_toimintavarma!S35),"",Turvallinen_ja_toimintavarma!S35)</f>
        <v/>
      </c>
    </row>
    <row r="38" spans="1:8" ht="29" x14ac:dyDescent="0.35">
      <c r="A38" s="1" t="str">
        <f>Turvallinen_ja_toimintavarma!I36</f>
        <v>Ei kuulu</v>
      </c>
      <c r="B38" s="1" t="str">
        <f>Turvallinen_ja_toimintavarma!P36</f>
        <v/>
      </c>
      <c r="C38" s="1" t="str">
        <f t="shared" si="0"/>
        <v>Ei</v>
      </c>
      <c r="D38" s="1" t="str">
        <f>IF(Turvallinen_ja_toimintavarma!N36="x","Kyllä","Ei")</f>
        <v>Kyllä</v>
      </c>
      <c r="E38" s="1" t="str">
        <f>IF(ISBLANK(Turvallinen_ja_toimintavarma!K36),"_Otsikkorivi",Turvallinen_ja_toimintavarma!K36)</f>
        <v>Turvallinen ja toimintavarma</v>
      </c>
      <c r="F38" s="1" t="str">
        <f>Turvallinen_ja_toimintavarma!L36</f>
        <v>2. Ajantasainen varautumis- ja valmiussuunnittelu ja yhteistyö muiden toimijoiden kanssa</v>
      </c>
      <c r="G38" s="8" t="str">
        <f>IF(ISBLANK(Turvallinen_ja_toimintavarma!R36),"Otsikkorivi",Turvallinen_ja_toimintavarma!R36)</f>
        <v>2.18 Vesihuoltolaitoksen kohteiden (esim. kiinteistöjen, toimitilojen) riittävästä fyysisestä turvallisuudesta (lukitus, kulunseuranta, aitaus, valvontakamerat tms.)  on huolehdittu asianmukaisesti ottaen huomioon niiden kriittisyys.</v>
      </c>
      <c r="H38" s="1" t="str">
        <f>IF(ISBLANK(Turvallinen_ja_toimintavarma!S36),"",Turvallinen_ja_toimintavarma!S36)</f>
        <v/>
      </c>
    </row>
    <row r="39" spans="1:8" ht="43.5" x14ac:dyDescent="0.35">
      <c r="A39" s="1" t="str">
        <f>Turvallinen_ja_toimintavarma!I37</f>
        <v>Ei kuulu</v>
      </c>
      <c r="B39" s="1" t="str">
        <f>Turvallinen_ja_toimintavarma!P37</f>
        <v/>
      </c>
      <c r="C39" s="1" t="str">
        <f t="shared" si="0"/>
        <v>Ei</v>
      </c>
      <c r="D39" s="1" t="str">
        <f>IF(Turvallinen_ja_toimintavarma!N37="x","Kyllä","Ei")</f>
        <v>Kyllä</v>
      </c>
      <c r="E39" s="1" t="str">
        <f>IF(ISBLANK(Turvallinen_ja_toimintavarma!K37),"_Otsikkorivi",Turvallinen_ja_toimintavarma!K37)</f>
        <v>Turvallinen ja toimintavarma</v>
      </c>
      <c r="F39" s="1" t="str">
        <f>Turvallinen_ja_toimintavarma!L37</f>
        <v>2. Ajantasainen varautumis- ja valmiussuunnittelu ja yhteistyö muiden toimijoiden kanssa</v>
      </c>
      <c r="G39" s="8" t="str">
        <f>IF(ISBLANK(Turvallinen_ja_toimintavarma!R37),"Otsikkorivi",Turvallinen_ja_toimintavarma!R37)</f>
        <v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v>
      </c>
      <c r="H39" s="1" t="str">
        <f>IF(ISBLANK(Turvallinen_ja_toimintavarma!S37),"",Turvallinen_ja_toimintavarma!S37)</f>
        <v/>
      </c>
    </row>
    <row r="40" spans="1:8" x14ac:dyDescent="0.35">
      <c r="A40" s="1" t="str">
        <f>Turvallinen_ja_toimintavarma!I38</f>
        <v>Ei kuulu</v>
      </c>
      <c r="B40" s="1" t="str">
        <f>Turvallinen_ja_toimintavarma!P38</f>
        <v/>
      </c>
      <c r="C40" s="1" t="str">
        <f t="shared" si="0"/>
        <v>Ei</v>
      </c>
      <c r="D40" s="1" t="str">
        <f>IF(Turvallinen_ja_toimintavarma!N38="x","Kyllä","Ei")</f>
        <v>Kyllä</v>
      </c>
      <c r="E40" s="1" t="str">
        <f>IF(ISBLANK(Turvallinen_ja_toimintavarma!K38),"_Otsikkorivi",Turvallinen_ja_toimintavarma!K38)</f>
        <v>Turvallinen ja toimintavarma</v>
      </c>
      <c r="F40" s="1" t="str">
        <f>Turvallinen_ja_toimintavarma!L38</f>
        <v>2. Ajantasainen varautumis- ja valmiussuunnittelu ja yhteistyö muiden toimijoiden kanssa</v>
      </c>
      <c r="G40" s="8" t="str">
        <f>IF(ISBLANK(Turvallinen_ja_toimintavarma!R38),"Otsikkorivi",Turvallinen_ja_toimintavarma!R38)</f>
        <v xml:space="preserve">2.20 Vesihuoltolaitoksella on häiriötilanteiden hoitoa varten etukäteen sovittu ja harjoiteltu toimintatapa tilannekuvan kokoamiseen ja ylläpitoon. </v>
      </c>
      <c r="H40" s="1" t="str">
        <f>IF(ISBLANK(Turvallinen_ja_toimintavarma!S38),"",Turvallinen_ja_toimintavarma!S38)</f>
        <v/>
      </c>
    </row>
    <row r="41" spans="1:8" ht="29" x14ac:dyDescent="0.35">
      <c r="A41" s="1" t="str">
        <f>Turvallinen_ja_toimintavarma!I39</f>
        <v>Ei kuulu</v>
      </c>
      <c r="B41" s="1" t="str">
        <f>Turvallinen_ja_toimintavarma!P39</f>
        <v/>
      </c>
      <c r="C41" s="1" t="str">
        <f t="shared" si="0"/>
        <v>Ei</v>
      </c>
      <c r="D41" s="1" t="str">
        <f>IF(Turvallinen_ja_toimintavarma!N39="x","Kyllä","Ei")</f>
        <v>Kyllä</v>
      </c>
      <c r="E41" s="1" t="str">
        <f>IF(ISBLANK(Turvallinen_ja_toimintavarma!K39),"_Otsikkorivi",Turvallinen_ja_toimintavarma!K39)</f>
        <v>Turvallinen ja toimintavarma</v>
      </c>
      <c r="F41" s="1" t="str">
        <f>Turvallinen_ja_toimintavarma!L39</f>
        <v>2. Ajantasainen varautumis- ja valmiussuunnittelu ja yhteistyö muiden toimijoiden kanssa</v>
      </c>
      <c r="G41" s="8" t="str">
        <f>IF(ISBLANK(Turvallinen_ja_toimintavarma!R39),"Otsikkorivi",Turvallinen_ja_toimintavarma!R39)</f>
        <v>2.21 Vesihuoltolaitoksella on laadittu toiminnan kannalta kriittisten automaatio- ja ICT-järjestelmien häiriötilanteiden varajärjestelyt ja häiriöistä toipuminen on suunniteltu. Tietoturvaa havainnoidaan.</v>
      </c>
      <c r="H41" s="1" t="str">
        <f>IF(ISBLANK(Turvallinen_ja_toimintavarma!S39),"",Turvallinen_ja_toimintavarma!S39)</f>
        <v/>
      </c>
    </row>
    <row r="42" spans="1:8" ht="43.5" x14ac:dyDescent="0.35">
      <c r="A42" s="1" t="str">
        <f>Turvallinen_ja_toimintavarma!I40</f>
        <v>Ei kuulu</v>
      </c>
      <c r="B42" s="1" t="str">
        <f>Turvallinen_ja_toimintavarma!P40</f>
        <v/>
      </c>
      <c r="C42" s="1" t="str">
        <f t="shared" si="0"/>
        <v>Ei</v>
      </c>
      <c r="D42" s="1" t="str">
        <f>IF(Turvallinen_ja_toimintavarma!N40="x","Kyllä","Ei")</f>
        <v>Kyllä</v>
      </c>
      <c r="E42" s="1" t="str">
        <f>IF(ISBLANK(Turvallinen_ja_toimintavarma!K40),"_Otsikkorivi",Turvallinen_ja_toimintavarma!K40)</f>
        <v>Turvallinen ja toimintavarma</v>
      </c>
      <c r="F42" s="1" t="str">
        <f>Turvallinen_ja_toimintavarma!L40</f>
        <v>2. Ajantasainen varautumis- ja valmiussuunnittelu ja yhteistyö muiden toimijoiden kanssa</v>
      </c>
      <c r="G42" s="8" t="str">
        <f>IF(ISBLANK(Turvallinen_ja_toimintavarma!R40),"Otsikkorivi",Turvallinen_ja_toimintavarma!R40)</f>
        <v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v>
      </c>
      <c r="H42" s="1" t="str">
        <f>IF(ISBLANK(Turvallinen_ja_toimintavarma!S40),"",Turvallinen_ja_toimintavarma!S40)</f>
        <v/>
      </c>
    </row>
    <row r="43" spans="1:8" ht="29" x14ac:dyDescent="0.35">
      <c r="A43" s="1" t="str">
        <f>Turvallinen_ja_toimintavarma!I41</f>
        <v>Ei kuulu</v>
      </c>
      <c r="B43" s="1" t="str">
        <f>Turvallinen_ja_toimintavarma!P41</f>
        <v/>
      </c>
      <c r="C43" s="1" t="str">
        <f t="shared" si="0"/>
        <v>Ei</v>
      </c>
      <c r="D43" s="1" t="str">
        <f>IF(Turvallinen_ja_toimintavarma!N41="x","Kyllä","Ei")</f>
        <v>Kyllä</v>
      </c>
      <c r="E43" s="1" t="str">
        <f>IF(ISBLANK(Turvallinen_ja_toimintavarma!K41),"_Otsikkorivi",Turvallinen_ja_toimintavarma!K41)</f>
        <v>Turvallinen ja toimintavarma</v>
      </c>
      <c r="F43" s="1" t="str">
        <f>Turvallinen_ja_toimintavarma!L41</f>
        <v>2. Ajantasainen varautumis- ja valmiussuunnittelu ja yhteistyö muiden toimijoiden kanssa</v>
      </c>
      <c r="G43" s="8" t="str">
        <f>IF(ISBLANK(Turvallinen_ja_toimintavarma!R41),"Otsikkorivi",Turvallinen_ja_toimintavarma!R41)</f>
        <v>2.23 Vesihuoltolaitos pitää tarvitsemiensa ajoneuvojen ja työkoneiden ATV-varaukset ajan tasalla. (Välttämättömien ajoneuvojen ja työkoneiden varaaminen poikkeusoloissa vesihuollon käyttöön)</v>
      </c>
      <c r="H43" s="1" t="str">
        <f>IF(ISBLANK(Turvallinen_ja_toimintavarma!S41),"",Turvallinen_ja_toimintavarma!S41)</f>
        <v/>
      </c>
    </row>
    <row r="44" spans="1:8" ht="29" x14ac:dyDescent="0.35">
      <c r="A44" s="1" t="str">
        <f>Turvallinen_ja_toimintavarma!I42</f>
        <v>Ei kuulu</v>
      </c>
      <c r="B44" s="1" t="str">
        <f>Turvallinen_ja_toimintavarma!P42</f>
        <v/>
      </c>
      <c r="C44" s="1" t="str">
        <f t="shared" si="0"/>
        <v>Ei</v>
      </c>
      <c r="D44" s="1" t="str">
        <f>IF(Turvallinen_ja_toimintavarma!N42="x","Kyllä","Ei")</f>
        <v>Kyllä</v>
      </c>
      <c r="E44" s="1" t="str">
        <f>IF(ISBLANK(Turvallinen_ja_toimintavarma!K42),"_Otsikkorivi",Turvallinen_ja_toimintavarma!K42)</f>
        <v>Turvallinen ja toimintavarma</v>
      </c>
      <c r="F44" s="1" t="str">
        <f>Turvallinen_ja_toimintavarma!L42</f>
        <v>2. Ajantasainen varautumis- ja valmiussuunnittelu ja yhteistyö muiden toimijoiden kanssa</v>
      </c>
      <c r="G44" s="8" t="str">
        <f>IF(ISBLANK(Turvallinen_ja_toimintavarma!R42),"Otsikkorivi",Turvallinen_ja_toimintavarma!R42)</f>
        <v>2.24 Automaatio- ja ICT-järjestelmien (OT- ja IT- järjestelmät) tietoturvaa on arvioitu hyödyntäen Kybermittaria tai Kyber-Vesi -hankkeen automaation vaatimuspatteristoa.</v>
      </c>
      <c r="H44" s="1" t="str">
        <f>IF(ISBLANK(Turvallinen_ja_toimintavarma!S42),"",Turvallinen_ja_toimintavarma!S42)</f>
        <v/>
      </c>
    </row>
    <row r="45" spans="1:8" x14ac:dyDescent="0.35">
      <c r="A45" s="1" t="str">
        <f>Turvallinen_ja_toimintavarma!I43</f>
        <v>Ei kuulu</v>
      </c>
      <c r="B45" s="1" t="str">
        <f>Turvallinen_ja_toimintavarma!P43</f>
        <v/>
      </c>
      <c r="C45" s="1" t="str">
        <f t="shared" si="0"/>
        <v>Ei</v>
      </c>
      <c r="D45" s="1" t="str">
        <f>IF(Turvallinen_ja_toimintavarma!N43="x","Kyllä","Ei")</f>
        <v>Ei</v>
      </c>
      <c r="E45" s="1" t="str">
        <f>IF(ISBLANK(Turvallinen_ja_toimintavarma!K43),"_Otsikkorivi",Turvallinen_ja_toimintavarma!K43)</f>
        <v>Turvallinen ja toimintavarma</v>
      </c>
      <c r="F45" s="1" t="str">
        <f>Turvallinen_ja_toimintavarma!L43</f>
        <v>_Otsikkorivi</v>
      </c>
      <c r="G45" s="8" t="str">
        <f>IF(ISBLANK(Turvallinen_ja_toimintavarma!R43),"Otsikkorivi",Turvallinen_ja_toimintavarma!R43)</f>
        <v>3. Kriittiset asiakkaat, väliaikainen vedenjakelu ja poikkeustilanteiden viestintä</v>
      </c>
      <c r="H45" s="1" t="str">
        <f>IF(ISBLANK(Turvallinen_ja_toimintavarma!S43),"",Turvallinen_ja_toimintavarma!S43)</f>
        <v/>
      </c>
    </row>
    <row r="46" spans="1:8" ht="29" x14ac:dyDescent="0.35">
      <c r="A46" s="1" t="str">
        <f>Turvallinen_ja_toimintavarma!I44</f>
        <v>Ei kuulu</v>
      </c>
      <c r="B46" s="1" t="str">
        <f>Turvallinen_ja_toimintavarma!P44</f>
        <v/>
      </c>
      <c r="C46" s="1" t="str">
        <f t="shared" si="0"/>
        <v>Ei</v>
      </c>
      <c r="D46" s="1" t="str">
        <f>IF(Turvallinen_ja_toimintavarma!N44="x","Kyllä","Ei")</f>
        <v>Kyllä</v>
      </c>
      <c r="E46" s="1" t="str">
        <f>IF(ISBLANK(Turvallinen_ja_toimintavarma!K44),"_Otsikkorivi",Turvallinen_ja_toimintavarma!K44)</f>
        <v>Turvallinen ja toimintavarma</v>
      </c>
      <c r="F46" s="1" t="str">
        <f>Turvallinen_ja_toimintavarma!L44</f>
        <v>3. Kriittiset asiakkaat, väliaikainen vedenjakelu ja poikkeustilanteiden viestintä</v>
      </c>
      <c r="G46" s="8" t="str">
        <f>IF(ISBLANK(Turvallinen_ja_toimintavarma!R44),"Otsikkorivi",Turvallinen_ja_toimintavarma!R44)</f>
        <v xml:space="preserve">3.1 Vesihuoltolaitoksen kriittiset asiakkaat on tunnistettu (määritetty ja luokiteltu) ja dokumentoitu (esim. vesihuoltolaitoksen verkkotietojärjestelmään ja varautumisohjeisiin) </v>
      </c>
      <c r="H46" s="1" t="str">
        <f>IF(ISBLANK(Turvallinen_ja_toimintavarma!S44),"",Turvallinen_ja_toimintavarma!S44)</f>
        <v/>
      </c>
    </row>
    <row r="47" spans="1:8" ht="29" x14ac:dyDescent="0.35">
      <c r="A47" s="1" t="str">
        <f>Turvallinen_ja_toimintavarma!I45</f>
        <v>Ei kuulu</v>
      </c>
      <c r="B47" s="1" t="str">
        <f>Turvallinen_ja_toimintavarma!P45</f>
        <v/>
      </c>
      <c r="C47" s="1" t="str">
        <f t="shared" si="0"/>
        <v>Ei</v>
      </c>
      <c r="D47" s="1" t="str">
        <f>IF(Turvallinen_ja_toimintavarma!N45="x","Kyllä","Ei")</f>
        <v>Kyllä</v>
      </c>
      <c r="E47" s="1" t="str">
        <f>IF(ISBLANK(Turvallinen_ja_toimintavarma!K45),"_Otsikkorivi",Turvallinen_ja_toimintavarma!K45)</f>
        <v>Turvallinen ja toimintavarma</v>
      </c>
      <c r="F47" s="1" t="str">
        <f>Turvallinen_ja_toimintavarma!L45</f>
        <v>3. Kriittiset asiakkaat, väliaikainen vedenjakelu ja poikkeustilanteiden viestintä</v>
      </c>
      <c r="G47" s="8" t="str">
        <f>IF(ISBLANK(Turvallinen_ja_toimintavarma!R45),"Otsikkorivi",Turvallinen_ja_toimintavarma!R45)</f>
        <v>3.2 Varavedenjakelukaluston saatavuus ja riittävä kapasiteetti on varmistettu tavanomaisissa (pienivaikutteisissa) vedenjakelun häiriötilanteissa omalla kalustolla ja/tai muuten.</v>
      </c>
      <c r="H47" s="1" t="str">
        <f>IF(ISBLANK(Turvallinen_ja_toimintavarma!S45),"",Turvallinen_ja_toimintavarma!S45)</f>
        <v/>
      </c>
    </row>
    <row r="48" spans="1:8" x14ac:dyDescent="0.35">
      <c r="A48" s="1" t="str">
        <f>Turvallinen_ja_toimintavarma!I46</f>
        <v>Ei kuulu</v>
      </c>
      <c r="B48" s="1" t="str">
        <f>Turvallinen_ja_toimintavarma!P46</f>
        <v/>
      </c>
      <c r="C48" s="1" t="str">
        <f t="shared" si="0"/>
        <v>Ei</v>
      </c>
      <c r="D48" s="1" t="str">
        <f>IF(Turvallinen_ja_toimintavarma!N46="x","Kyllä","Ei")</f>
        <v>Kyllä</v>
      </c>
      <c r="E48" s="1" t="str">
        <f>IF(ISBLANK(Turvallinen_ja_toimintavarma!K46),"_Otsikkorivi",Turvallinen_ja_toimintavarma!K46)</f>
        <v>Turvallinen ja toimintavarma</v>
      </c>
      <c r="F48" s="1" t="str">
        <f>Turvallinen_ja_toimintavarma!L46</f>
        <v>3. Kriittiset asiakkaat, väliaikainen vedenjakelu ja poikkeustilanteiden viestintä</v>
      </c>
      <c r="G48" s="8" t="str">
        <f>IF(ISBLANK(Turvallinen_ja_toimintavarma!R46),"Otsikkorivi",Turvallinen_ja_toimintavarma!R46)</f>
        <v xml:space="preserve">3.3 Vesihuoltolaitoksen varavedenjakelu (esim. jakelupisteet, kalusto, säiliöt, pullot yms.) on suunniteltu myös laajavaikutteisiin vedenjakelutarpeisiin. </v>
      </c>
      <c r="H48" s="1" t="str">
        <f>IF(ISBLANK(Turvallinen_ja_toimintavarma!S46),"",Turvallinen_ja_toimintavarma!S46)</f>
        <v/>
      </c>
    </row>
    <row r="49" spans="1:8" x14ac:dyDescent="0.35">
      <c r="A49" s="1" t="str">
        <f>Turvallinen_ja_toimintavarma!I47</f>
        <v>Ei kuulu</v>
      </c>
      <c r="B49" s="1" t="str">
        <f>Turvallinen_ja_toimintavarma!P47</f>
        <v/>
      </c>
      <c r="C49" s="1" t="str">
        <f t="shared" si="0"/>
        <v>Ei</v>
      </c>
      <c r="D49" s="1" t="str">
        <f>IF(Turvallinen_ja_toimintavarma!N47="x","Kyllä","Ei")</f>
        <v>Kyllä</v>
      </c>
      <c r="E49" s="1" t="str">
        <f>IF(ISBLANK(Turvallinen_ja_toimintavarma!K47),"_Otsikkorivi",Turvallinen_ja_toimintavarma!K47)</f>
        <v>Turvallinen ja toimintavarma</v>
      </c>
      <c r="F49" s="1" t="str">
        <f>Turvallinen_ja_toimintavarma!L47</f>
        <v>3. Kriittiset asiakkaat, väliaikainen vedenjakelu ja poikkeustilanteiden viestintä</v>
      </c>
      <c r="G49" s="8" t="str">
        <f>IF(ISBLANK(Turvallinen_ja_toimintavarma!R47),"Otsikkorivi",Turvallinen_ja_toimintavarma!R47)</f>
        <v xml:space="preserve">3.4 Varavedenjakelua on harjoiteltu.  (esim. todellisten tilanteiden myötä) </v>
      </c>
      <c r="H49" s="1" t="str">
        <f>IF(ISBLANK(Turvallinen_ja_toimintavarma!S47),"",Turvallinen_ja_toimintavarma!S47)</f>
        <v/>
      </c>
    </row>
    <row r="50" spans="1:8" ht="43.5" x14ac:dyDescent="0.35">
      <c r="A50" s="1" t="str">
        <f>Turvallinen_ja_toimintavarma!I48</f>
        <v>Ei kuulu</v>
      </c>
      <c r="B50" s="1" t="str">
        <f>Turvallinen_ja_toimintavarma!P48</f>
        <v/>
      </c>
      <c r="C50" s="1" t="str">
        <f t="shared" si="0"/>
        <v>Ei</v>
      </c>
      <c r="D50" s="1" t="str">
        <f>IF(Turvallinen_ja_toimintavarma!N48="x","Kyllä","Ei")</f>
        <v>Kyllä</v>
      </c>
      <c r="E50" s="1" t="str">
        <f>IF(ISBLANK(Turvallinen_ja_toimintavarma!K48),"_Otsikkorivi",Turvallinen_ja_toimintavarma!K48)</f>
        <v>Turvallinen ja toimintavarma</v>
      </c>
      <c r="F50" s="1" t="str">
        <f>Turvallinen_ja_toimintavarma!L48</f>
        <v>3. Kriittiset asiakkaat, väliaikainen vedenjakelu ja poikkeustilanteiden viestintä</v>
      </c>
      <c r="G50" s="8" t="str">
        <f>IF(ISBLANK(Turvallinen_ja_toimintavarma!R48),"Otsikkorivi",Turvallinen_ja_toimintavarma!R48)</f>
        <v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v>
      </c>
      <c r="H50" s="1" t="str">
        <f>IF(ISBLANK(Turvallinen_ja_toimintavarma!S48),"",Turvallinen_ja_toimintavarma!S48)</f>
        <v/>
      </c>
    </row>
    <row r="51" spans="1:8" x14ac:dyDescent="0.35">
      <c r="A51" s="1" t="str">
        <f>Turvallinen_ja_toimintavarma!I49</f>
        <v>Ei kuulu</v>
      </c>
      <c r="B51" s="1" t="str">
        <f>Turvallinen_ja_toimintavarma!P49</f>
        <v/>
      </c>
      <c r="C51" s="1" t="str">
        <f t="shared" si="0"/>
        <v>Ei</v>
      </c>
      <c r="D51" s="1" t="str">
        <f>IF(Turvallinen_ja_toimintavarma!N49="x","Kyllä","Ei")</f>
        <v>Kyllä</v>
      </c>
      <c r="E51" s="1" t="str">
        <f>IF(ISBLANK(Turvallinen_ja_toimintavarma!K49),"_Otsikkorivi",Turvallinen_ja_toimintavarma!K49)</f>
        <v>Turvallinen ja toimintavarma</v>
      </c>
      <c r="F51" s="1" t="str">
        <f>Turvallinen_ja_toimintavarma!L49</f>
        <v>3. Kriittiset asiakkaat, väliaikainen vedenjakelu ja poikkeustilanteiden viestintä</v>
      </c>
      <c r="G51" s="8" t="str">
        <f>IF(ISBLANK(Turvallinen_ja_toimintavarma!R49),"Otsikkorivi",Turvallinen_ja_toimintavarma!R49)</f>
        <v>3.6 Vesihuoltolaitos seuraa parametria yli 12 h vedentoimituskatkokset (kpl/v, liittyjät/vuosi)</v>
      </c>
      <c r="H51" s="1" t="str">
        <f>IF(ISBLANK(Turvallinen_ja_toimintavarma!S49),"",Turvallinen_ja_toimintavarma!S49)</f>
        <v/>
      </c>
    </row>
    <row r="52" spans="1:8" ht="29" x14ac:dyDescent="0.35">
      <c r="A52" s="1" t="str">
        <f>Turvallinen_ja_toimintavarma!I50</f>
        <v>Ei kuulu</v>
      </c>
      <c r="B52" s="1" t="str">
        <f>Turvallinen_ja_toimintavarma!P50</f>
        <v/>
      </c>
      <c r="C52" s="1" t="str">
        <f t="shared" si="0"/>
        <v>Ei</v>
      </c>
      <c r="D52" s="1" t="str">
        <f>IF(Turvallinen_ja_toimintavarma!N50="x","Kyllä","Ei")</f>
        <v>Kyllä</v>
      </c>
      <c r="E52" s="1" t="str">
        <f>IF(ISBLANK(Turvallinen_ja_toimintavarma!K50),"_Otsikkorivi",Turvallinen_ja_toimintavarma!K50)</f>
        <v>Turvallinen ja toimintavarma</v>
      </c>
      <c r="F52" s="1" t="str">
        <f>Turvallinen_ja_toimintavarma!L50</f>
        <v>3. Kriittiset asiakkaat, väliaikainen vedenjakelu ja poikkeustilanteiden viestintä</v>
      </c>
      <c r="G52" s="8" t="str">
        <f>IF(ISBLANK(Turvallinen_ja_toimintavarma!R50),"Otsikkorivi",Turvallinen_ja_toimintavarma!R50)</f>
        <v>3.7 Vesihuoltolaitoksella on valmius ilmoittaa keittokehotuksesta tai muista vedenkäyttöön liittyvistä häiriöistä vedenkäyttäjille tar-koituksenmukaisia viestintäkanavia käyttäen tarvittaessa myös kohdennetusti (esim. laputtamalla, tekstiviestillä).</v>
      </c>
      <c r="H52" s="1" t="str">
        <f>IF(ISBLANK(Turvallinen_ja_toimintavarma!S50),"",Turvallinen_ja_toimintavarma!S50)</f>
        <v/>
      </c>
    </row>
    <row r="53" spans="1:8" ht="29" x14ac:dyDescent="0.35">
      <c r="A53" s="1" t="str">
        <f>Turvallinen_ja_toimintavarma!I51</f>
        <v>Ei kuulu</v>
      </c>
      <c r="B53" s="1" t="str">
        <f>Turvallinen_ja_toimintavarma!P51</f>
        <v/>
      </c>
      <c r="C53" s="1" t="str">
        <f t="shared" si="0"/>
        <v>Ei</v>
      </c>
      <c r="D53" s="1" t="str">
        <f>IF(Turvallinen_ja_toimintavarma!N51="x","Kyllä","Ei")</f>
        <v>Kyllä</v>
      </c>
      <c r="E53" s="1" t="str">
        <f>IF(ISBLANK(Turvallinen_ja_toimintavarma!K51),"_Otsikkorivi",Turvallinen_ja_toimintavarma!K51)</f>
        <v>Turvallinen ja toimintavarma</v>
      </c>
      <c r="F53" s="1" t="str">
        <f>Turvallinen_ja_toimintavarma!L51</f>
        <v>3. Kriittiset asiakkaat, väliaikainen vedenjakelu ja poikkeustilanteiden viestintä</v>
      </c>
      <c r="G53" s="8" t="str">
        <f>IF(ISBLANK(Turvallinen_ja_toimintavarma!R51),"Otsikkorivi",Turvallinen_ja_toimintavarma!R51)</f>
        <v>3.8 On suunniteltu ja käyttöönotettavissa vaihtoehtoiset tiedon- ja toiminnanhallinnan sekä sisäisen viestinnän menetelmät, mikäli internet ja/tai normaalit tietoliikenneyhteydet eivät toimi.</v>
      </c>
      <c r="H53" s="1" t="str">
        <f>IF(ISBLANK(Turvallinen_ja_toimintavarma!S51),"",Turvallinen_ja_toimintavarma!S51)</f>
        <v/>
      </c>
    </row>
    <row r="54" spans="1:8" x14ac:dyDescent="0.35">
      <c r="A54" s="1" t="str">
        <f>Turvallinen_ja_toimintavarma!I52</f>
        <v>Ei kuulu</v>
      </c>
      <c r="B54" s="1" t="str">
        <f>Turvallinen_ja_toimintavarma!P52</f>
        <v/>
      </c>
      <c r="C54" s="1" t="str">
        <f t="shared" si="0"/>
        <v>Ei</v>
      </c>
      <c r="D54" s="1" t="str">
        <f>IF(Turvallinen_ja_toimintavarma!N52="x","Kyllä","Ei")</f>
        <v>Kyllä</v>
      </c>
      <c r="E54" s="1" t="str">
        <f>IF(ISBLANK(Turvallinen_ja_toimintavarma!K52),"_Otsikkorivi",Turvallinen_ja_toimintavarma!K52)</f>
        <v>Turvallinen ja toimintavarma</v>
      </c>
      <c r="F54" s="1" t="str">
        <f>Turvallinen_ja_toimintavarma!L52</f>
        <v>3. Kriittiset asiakkaat, väliaikainen vedenjakelu ja poikkeustilanteiden viestintä</v>
      </c>
      <c r="G54" s="8" t="str">
        <f>IF(ISBLANK(Turvallinen_ja_toimintavarma!R52),"Otsikkorivi",Turvallinen_ja_toimintavarma!R52)</f>
        <v>3.9 Putkirikkojen määrä &lt; 4 kpl/100 km/vuosi</v>
      </c>
      <c r="H54" s="1" t="str">
        <f>IF(ISBLANK(Turvallinen_ja_toimintavarma!S52),"",Turvallinen_ja_toimintavarma!S52)</f>
        <v/>
      </c>
    </row>
    <row r="55" spans="1:8" x14ac:dyDescent="0.35">
      <c r="A55" s="1" t="str">
        <f>Turvallinen_ja_toimintavarma!I53</f>
        <v>Ei kuulu</v>
      </c>
      <c r="B55" s="1" t="str">
        <f>Turvallinen_ja_toimintavarma!P53</f>
        <v/>
      </c>
      <c r="C55" s="1" t="str">
        <f t="shared" si="0"/>
        <v>Ei</v>
      </c>
      <c r="D55" s="1" t="str">
        <f>IF(Turvallinen_ja_toimintavarma!N53="x","Kyllä","Ei")</f>
        <v>Kyllä</v>
      </c>
      <c r="E55" s="1" t="str">
        <f>IF(ISBLANK(Turvallinen_ja_toimintavarma!K53),"_Otsikkorivi",Turvallinen_ja_toimintavarma!K53)</f>
        <v>Turvallinen ja toimintavarma</v>
      </c>
      <c r="F55" s="1" t="str">
        <f>Turvallinen_ja_toimintavarma!L53</f>
        <v>3. Kriittiset asiakkaat, väliaikainen vedenjakelu ja poikkeustilanteiden viestintä</v>
      </c>
      <c r="G55" s="8" t="str">
        <f>IF(ISBLANK(Turvallinen_ja_toimintavarma!R53),"Otsikkorivi",Turvallinen_ja_toimintavarma!R53)</f>
        <v>3.10 Laskuttamattoman talousveden osuus &lt; 15 % (1-4)</v>
      </c>
      <c r="H55" s="1" t="str">
        <f>IF(ISBLANK(Turvallinen_ja_toimintavarma!S53),"",Turvallinen_ja_toimintavarma!S53)</f>
        <v/>
      </c>
    </row>
    <row r="56" spans="1:8" x14ac:dyDescent="0.35">
      <c r="A56" s="1" t="str">
        <f>Turvallinen_ja_toimintavarma!I54</f>
        <v>Ei kuulu</v>
      </c>
      <c r="B56" s="1" t="str">
        <f>Turvallinen_ja_toimintavarma!P54</f>
        <v/>
      </c>
      <c r="C56" s="1" t="str">
        <f t="shared" si="0"/>
        <v>Ei</v>
      </c>
      <c r="D56" s="1" t="str">
        <f>IF(Turvallinen_ja_toimintavarma!N54="x","Kyllä","Ei")</f>
        <v>Kyllä</v>
      </c>
      <c r="E56" s="1" t="str">
        <f>IF(ISBLANK(Turvallinen_ja_toimintavarma!K54),"_Otsikkorivi",Turvallinen_ja_toimintavarma!K54)</f>
        <v>Turvallinen ja toimintavarma</v>
      </c>
      <c r="F56" s="1" t="str">
        <f>Turvallinen_ja_toimintavarma!L54</f>
        <v>3. Kriittiset asiakkaat, väliaikainen vedenjakelu ja poikkeustilanteiden viestintä</v>
      </c>
      <c r="G56" s="8" t="str">
        <f>IF(ISBLANK(Turvallinen_ja_toimintavarma!R54),"Otsikkorivi",Turvallinen_ja_toimintavarma!R54)</f>
        <v>3.11 Erilaisten häiriötilanteiden viestintä on suunniteltu, ohjeistettu ja sitä harjoitellaan. Yhteystiedot pidetään ajan tasalla.</v>
      </c>
      <c r="H56" s="1" t="str">
        <f>IF(ISBLANK(Turvallinen_ja_toimintavarma!S54),"",Turvallinen_ja_toimintavarma!S54)</f>
        <v/>
      </c>
    </row>
    <row r="57" spans="1:8" ht="29" x14ac:dyDescent="0.35">
      <c r="A57" s="1" t="str">
        <f>Turvallinen_ja_toimintavarma!I55</f>
        <v>Ei kuulu</v>
      </c>
      <c r="B57" s="1" t="str">
        <f>Turvallinen_ja_toimintavarma!P55</f>
        <v/>
      </c>
      <c r="C57" s="1" t="str">
        <f t="shared" si="0"/>
        <v>Ei</v>
      </c>
      <c r="D57" s="1" t="str">
        <f>IF(Turvallinen_ja_toimintavarma!N55="x","Kyllä","Ei")</f>
        <v>Kyllä</v>
      </c>
      <c r="E57" s="1" t="str">
        <f>IF(ISBLANK(Turvallinen_ja_toimintavarma!K55),"_Otsikkorivi",Turvallinen_ja_toimintavarma!K55)</f>
        <v>Turvallinen ja toimintavarma</v>
      </c>
      <c r="F57" s="1" t="str">
        <f>Turvallinen_ja_toimintavarma!L55</f>
        <v>3. Kriittiset asiakkaat, väliaikainen vedenjakelu ja poikkeustilanteiden viestintä</v>
      </c>
      <c r="G57" s="8" t="str">
        <f>IF(ISBLANK(Turvallinen_ja_toimintavarma!R55),"Otsikkorivi",Turvallinen_ja_toimintavarma!R55)</f>
        <v>3.12 Kriittisten asiakkaiden kanssa on käyty neuvottelu vedensaannin turvaamisesta ja tarpeellisten toimenpiteiden määrittely on tehty esim. erillisellä sopimuksella tai kriittisiä asiakkaita ei ole.</v>
      </c>
      <c r="H57" s="1" t="str">
        <f>IF(ISBLANK(Turvallinen_ja_toimintavarma!S55),"",Turvallinen_ja_toimintavarma!S55)</f>
        <v/>
      </c>
    </row>
    <row r="58" spans="1:8" x14ac:dyDescent="0.35">
      <c r="A58" s="1" t="str">
        <f>Turvallinen_ja_toimintavarma!I56</f>
        <v>Ei kuulu</v>
      </c>
      <c r="B58" s="1" t="str">
        <f>Turvallinen_ja_toimintavarma!P56</f>
        <v/>
      </c>
      <c r="C58" s="1" t="str">
        <f t="shared" si="0"/>
        <v>Ei</v>
      </c>
      <c r="D58" s="1" t="str">
        <f>IF(Turvallinen_ja_toimintavarma!N56="x","Kyllä","Ei")</f>
        <v>Ei</v>
      </c>
      <c r="E58" s="1" t="str">
        <f>IF(ISBLANK(Turvallinen_ja_toimintavarma!K56),"_Otsikkorivi",Turvallinen_ja_toimintavarma!K56)</f>
        <v>Turvallinen ja toimintavarma</v>
      </c>
      <c r="F58" s="1" t="str">
        <f>Turvallinen_ja_toimintavarma!L56</f>
        <v>_Otsikkorivi</v>
      </c>
      <c r="G58" s="8" t="str">
        <f>IF(ISBLANK(Turvallinen_ja_toimintavarma!R56),"Otsikkorivi",Turvallinen_ja_toimintavarma!R56)</f>
        <v>4. Kemikaalit, varaosat ja kriittiset palvelut</v>
      </c>
      <c r="H58" s="1" t="str">
        <f>IF(ISBLANK(Turvallinen_ja_toimintavarma!S56),"",Turvallinen_ja_toimintavarma!S56)</f>
        <v/>
      </c>
    </row>
    <row r="59" spans="1:8" x14ac:dyDescent="0.35">
      <c r="A59" s="1" t="str">
        <f>Turvallinen_ja_toimintavarma!I57</f>
        <v>Ei kuulu</v>
      </c>
      <c r="B59" s="1" t="str">
        <f>Turvallinen_ja_toimintavarma!P57</f>
        <v/>
      </c>
      <c r="C59" s="1" t="str">
        <f t="shared" si="0"/>
        <v>Ei</v>
      </c>
      <c r="D59" s="1" t="str">
        <f>IF(Turvallinen_ja_toimintavarma!N57="x","Kyllä","Ei")</f>
        <v>Kyllä</v>
      </c>
      <c r="E59" s="1" t="str">
        <f>IF(ISBLANK(Turvallinen_ja_toimintavarma!K57),"_Otsikkorivi",Turvallinen_ja_toimintavarma!K57)</f>
        <v>Turvallinen ja toimintavarma</v>
      </c>
      <c r="F59" s="1" t="str">
        <f>Turvallinen_ja_toimintavarma!L57</f>
        <v>4. Kemikaalit, varaosat ja kriittiset palvelut</v>
      </c>
      <c r="G59" s="8" t="str">
        <f>IF(ISBLANK(Turvallinen_ja_toimintavarma!R57),"Otsikkorivi",Turvallinen_ja_toimintavarma!R57)</f>
        <v xml:space="preserve">4.1 Vesihuoltolaitoksen kriittiset materiaalit (kemikaalit, varaosat, yms) on tunnistettu. </v>
      </c>
      <c r="H59" s="1" t="str">
        <f>IF(ISBLANK(Turvallinen_ja_toimintavarma!S57),"",Turvallinen_ja_toimintavarma!S57)</f>
        <v/>
      </c>
    </row>
    <row r="60" spans="1:8" x14ac:dyDescent="0.35">
      <c r="A60" s="1" t="str">
        <f>Turvallinen_ja_toimintavarma!I58</f>
        <v>Ei kuulu</v>
      </c>
      <c r="B60" s="1" t="str">
        <f>Turvallinen_ja_toimintavarma!P58</f>
        <v/>
      </c>
      <c r="C60" s="1" t="str">
        <f t="shared" si="0"/>
        <v>Ei</v>
      </c>
      <c r="D60" s="1" t="str">
        <f>IF(Turvallinen_ja_toimintavarma!N58="x","Kyllä","Ei")</f>
        <v>Kyllä</v>
      </c>
      <c r="E60" s="1" t="str">
        <f>IF(ISBLANK(Turvallinen_ja_toimintavarma!K58),"_Otsikkorivi",Turvallinen_ja_toimintavarma!K58)</f>
        <v>Turvallinen ja toimintavarma</v>
      </c>
      <c r="F60" s="1" t="str">
        <f>Turvallinen_ja_toimintavarma!L58</f>
        <v>4. Kemikaalit, varaosat ja kriittiset palvelut</v>
      </c>
      <c r="G60" s="8" t="str">
        <f>IF(ISBLANK(Turvallinen_ja_toimintavarma!R58),"Otsikkorivi",Turvallinen_ja_toimintavarma!R58)</f>
        <v>4.2 Kriittisten materiaalien riittävä varastokapasiteetti ja saatavuus on määritetty ja järjestetty.</v>
      </c>
      <c r="H60" s="1" t="str">
        <f>IF(ISBLANK(Turvallinen_ja_toimintavarma!S58),"",Turvallinen_ja_toimintavarma!S58)</f>
        <v/>
      </c>
    </row>
    <row r="61" spans="1:8" x14ac:dyDescent="0.35">
      <c r="A61" s="1" t="str">
        <f>Turvallinen_ja_toimintavarma!I59</f>
        <v>Ei kuulu</v>
      </c>
      <c r="B61" s="1" t="str">
        <f>Turvallinen_ja_toimintavarma!P59</f>
        <v/>
      </c>
      <c r="C61" s="1" t="str">
        <f t="shared" si="0"/>
        <v>Ei</v>
      </c>
      <c r="D61" s="1" t="str">
        <f>IF(Turvallinen_ja_toimintavarma!N59="x","Kyllä","Ei")</f>
        <v>Kyllä</v>
      </c>
      <c r="E61" s="1" t="str">
        <f>IF(ISBLANK(Turvallinen_ja_toimintavarma!K59),"_Otsikkorivi",Turvallinen_ja_toimintavarma!K59)</f>
        <v>Turvallinen ja toimintavarma</v>
      </c>
      <c r="F61" s="1" t="str">
        <f>Turvallinen_ja_toimintavarma!L59</f>
        <v>4. Kemikaalit, varaosat ja kriittiset palvelut</v>
      </c>
      <c r="G61" s="8" t="str">
        <f>IF(ISBLANK(Turvallinen_ja_toimintavarma!R59),"Otsikkorivi",Turvallinen_ja_toimintavarma!R59)</f>
        <v xml:space="preserve">4.3 Toimittajien kanssa on neuvoteltu jatkuvuudenhallinnasta. </v>
      </c>
      <c r="H61" s="1" t="str">
        <f>IF(ISBLANK(Turvallinen_ja_toimintavarma!S59),"",Turvallinen_ja_toimintavarma!S59)</f>
        <v/>
      </c>
    </row>
    <row r="62" spans="1:8" x14ac:dyDescent="0.35">
      <c r="A62" s="1" t="str">
        <f>Turvallinen_ja_toimintavarma!I60</f>
        <v>Ei kuulu</v>
      </c>
      <c r="B62" s="1" t="str">
        <f>Turvallinen_ja_toimintavarma!P60</f>
        <v/>
      </c>
      <c r="C62" s="1" t="str">
        <f t="shared" si="0"/>
        <v>Ei</v>
      </c>
      <c r="D62" s="1" t="str">
        <f>IF(Turvallinen_ja_toimintavarma!N60="x","Kyllä","Ei")</f>
        <v>Kyllä</v>
      </c>
      <c r="E62" s="1" t="str">
        <f>IF(ISBLANK(Turvallinen_ja_toimintavarma!K60),"_Otsikkorivi",Turvallinen_ja_toimintavarma!K60)</f>
        <v>Turvallinen ja toimintavarma</v>
      </c>
      <c r="F62" s="1" t="str">
        <f>Turvallinen_ja_toimintavarma!L60</f>
        <v>4. Kemikaalit, varaosat ja kriittiset palvelut</v>
      </c>
      <c r="G62" s="8" t="str">
        <f>IF(ISBLANK(Turvallinen_ja_toimintavarma!R60),"Otsikkorivi",Turvallinen_ja_toimintavarma!R60)</f>
        <v xml:space="preserve">4.4 Kriittisten materiaalien saanti on otettu huomioon sopimuksissa (esim. SOPIVA-sopimuslausekkeet). </v>
      </c>
      <c r="H62" s="1" t="str">
        <f>IF(ISBLANK(Turvallinen_ja_toimintavarma!S60),"",Turvallinen_ja_toimintavarma!S60)</f>
        <v/>
      </c>
    </row>
    <row r="63" spans="1:8" ht="29" x14ac:dyDescent="0.35">
      <c r="A63" s="1" t="str">
        <f>Turvallinen_ja_toimintavarma!I61</f>
        <v>Ei kuulu</v>
      </c>
      <c r="B63" s="1" t="str">
        <f>Turvallinen_ja_toimintavarma!P61</f>
        <v/>
      </c>
      <c r="C63" s="1" t="str">
        <f t="shared" si="0"/>
        <v>Ei</v>
      </c>
      <c r="D63" s="1" t="str">
        <f>IF(Turvallinen_ja_toimintavarma!N61="x","Kyllä","Ei")</f>
        <v>Kyllä</v>
      </c>
      <c r="E63" s="1" t="str">
        <f>IF(ISBLANK(Turvallinen_ja_toimintavarma!K61),"_Otsikkorivi",Turvallinen_ja_toimintavarma!K61)</f>
        <v>Turvallinen ja toimintavarma</v>
      </c>
      <c r="F63" s="1" t="str">
        <f>Turvallinen_ja_toimintavarma!L61</f>
        <v>4. Kemikaalit, varaosat ja kriittiset palvelut</v>
      </c>
      <c r="G63" s="8" t="str">
        <f>IF(ISBLANK(Turvallinen_ja_toimintavarma!R61),"Otsikkorivi",Turvallinen_ja_toimintavarma!R61)</f>
        <v>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v>
      </c>
      <c r="H63" s="1" t="str">
        <f>IF(ISBLANK(Turvallinen_ja_toimintavarma!S61),"",Turvallinen_ja_toimintavarma!S61)</f>
        <v/>
      </c>
    </row>
    <row r="64" spans="1:8" x14ac:dyDescent="0.35">
      <c r="A64" s="1" t="str">
        <f>Turvallinen_ja_toimintavarma!I62</f>
        <v>Ei kuulu</v>
      </c>
      <c r="B64" s="1" t="str">
        <f>Turvallinen_ja_toimintavarma!P62</f>
        <v/>
      </c>
      <c r="C64" s="1" t="str">
        <f t="shared" si="0"/>
        <v>Ei</v>
      </c>
      <c r="D64" s="1" t="str">
        <f>IF(Turvallinen_ja_toimintavarma!N62="x","Kyllä","Ei")</f>
        <v>Kyllä</v>
      </c>
      <c r="E64" s="1" t="str">
        <f>IF(ISBLANK(Turvallinen_ja_toimintavarma!K62),"_Otsikkorivi",Turvallinen_ja_toimintavarma!K62)</f>
        <v>Turvallinen ja toimintavarma</v>
      </c>
      <c r="F64" s="1" t="str">
        <f>Turvallinen_ja_toimintavarma!L62</f>
        <v>4. Kemikaalit, varaosat ja kriittiset palvelut</v>
      </c>
      <c r="G64" s="8" t="str">
        <f>IF(ISBLANK(Turvallinen_ja_toimintavarma!R62),"Otsikkorivi",Turvallinen_ja_toimintavarma!R62)</f>
        <v>4.6 Vesihuoltolaitoksen kriittiset palvelut (perustoiminnan ylläpitämisen edellyttämät jatkuvat palvelut, esim. logistiikka) on tunnistettu.</v>
      </c>
      <c r="H64" s="1" t="str">
        <f>IF(ISBLANK(Turvallinen_ja_toimintavarma!S62),"",Turvallinen_ja_toimintavarma!S62)</f>
        <v/>
      </c>
    </row>
    <row r="65" spans="1:8" x14ac:dyDescent="0.35">
      <c r="A65" s="1" t="str">
        <f>Turvallinen_ja_toimintavarma!I63</f>
        <v>Ei kuulu</v>
      </c>
      <c r="B65" s="1" t="str">
        <f>Turvallinen_ja_toimintavarma!P63</f>
        <v/>
      </c>
      <c r="C65" s="1" t="str">
        <f t="shared" si="0"/>
        <v>Ei</v>
      </c>
      <c r="D65" s="1" t="str">
        <f>IF(Turvallinen_ja_toimintavarma!N63="x","Kyllä","Ei")</f>
        <v>Kyllä</v>
      </c>
      <c r="E65" s="1" t="str">
        <f>IF(ISBLANK(Turvallinen_ja_toimintavarma!K63),"_Otsikkorivi",Turvallinen_ja_toimintavarma!K63)</f>
        <v>Turvallinen ja toimintavarma</v>
      </c>
      <c r="F65" s="1" t="str">
        <f>Turvallinen_ja_toimintavarma!L63</f>
        <v>4. Kemikaalit, varaosat ja kriittiset palvelut</v>
      </c>
      <c r="G65" s="8" t="str">
        <f>IF(ISBLANK(Turvallinen_ja_toimintavarma!R63),"Otsikkorivi",Turvallinen_ja_toimintavarma!R63)</f>
        <v>4.7 Vesihuoltolaitoksen kriittisten palveluiden riittävä saatavuus on määritetty ja varmistettu.</v>
      </c>
      <c r="H65" s="1" t="str">
        <f>IF(ISBLANK(Turvallinen_ja_toimintavarma!S63),"",Turvallinen_ja_toimintavarma!S63)</f>
        <v/>
      </c>
    </row>
    <row r="66" spans="1:8" x14ac:dyDescent="0.35">
      <c r="A66" s="1" t="str">
        <f>Turvallinen_ja_toimintavarma!I64</f>
        <v>Ei kuulu</v>
      </c>
      <c r="B66" s="1" t="str">
        <f>Turvallinen_ja_toimintavarma!P64</f>
        <v/>
      </c>
      <c r="C66" s="1" t="str">
        <f t="shared" si="0"/>
        <v>Ei</v>
      </c>
      <c r="D66" s="1" t="str">
        <f>IF(Turvallinen_ja_toimintavarma!N64="x","Kyllä","Ei")</f>
        <v>Kyllä</v>
      </c>
      <c r="E66" s="1" t="str">
        <f>IF(ISBLANK(Turvallinen_ja_toimintavarma!K64),"_Otsikkorivi",Turvallinen_ja_toimintavarma!K64)</f>
        <v>Turvallinen ja toimintavarma</v>
      </c>
      <c r="F66" s="1" t="str">
        <f>Turvallinen_ja_toimintavarma!L64</f>
        <v>4. Kemikaalit, varaosat ja kriittiset palvelut</v>
      </c>
      <c r="G66" s="8" t="str">
        <f>IF(ISBLANK(Turvallinen_ja_toimintavarma!R64),"Otsikkorivi",Turvallinen_ja_toimintavarma!R64)</f>
        <v>4.8 Palvelutarjoajien kanssa on neuvoteltu jatkuvuudenhallinnasta. (esim. VAP-varaukset)</v>
      </c>
      <c r="H66" s="1" t="str">
        <f>IF(ISBLANK(Turvallinen_ja_toimintavarma!S64),"",Turvallinen_ja_toimintavarma!S64)</f>
        <v/>
      </c>
    </row>
    <row r="67" spans="1:8" x14ac:dyDescent="0.35">
      <c r="A67" s="1" t="str">
        <f>Turvallinen_ja_toimintavarma!I65</f>
        <v>Ei kuulu</v>
      </c>
      <c r="B67" s="1" t="str">
        <f>Turvallinen_ja_toimintavarma!P65</f>
        <v/>
      </c>
      <c r="C67" s="1" t="str">
        <f t="shared" si="0"/>
        <v>Ei</v>
      </c>
      <c r="D67" s="1" t="str">
        <f>IF(Turvallinen_ja_toimintavarma!N65="x","Kyllä","Ei")</f>
        <v>Kyllä</v>
      </c>
      <c r="E67" s="1" t="str">
        <f>IF(ISBLANK(Turvallinen_ja_toimintavarma!K65),"_Otsikkorivi",Turvallinen_ja_toimintavarma!K65)</f>
        <v>Turvallinen ja toimintavarma</v>
      </c>
      <c r="F67" s="1" t="str">
        <f>Turvallinen_ja_toimintavarma!L65</f>
        <v>4. Kemikaalit, varaosat ja kriittiset palvelut</v>
      </c>
      <c r="G67" s="8" t="str">
        <f>IF(ISBLANK(Turvallinen_ja_toimintavarma!R65),"Otsikkorivi",Turvallinen_ja_toimintavarma!R65)</f>
        <v>4.9 Kriittisten palvelujen saanti on otettu huomioon sopimuksissa (esim. SOPIVA-sopimuslausekkeet).</v>
      </c>
      <c r="H67" s="1" t="str">
        <f>IF(ISBLANK(Turvallinen_ja_toimintavarma!S65),"",Turvallinen_ja_toimintavarma!S65)</f>
        <v/>
      </c>
    </row>
    <row r="68" spans="1:8" x14ac:dyDescent="0.35">
      <c r="A68" s="1" t="str">
        <f>Turvallinen_ja_toimintavarma!I66</f>
        <v>Ei kuulu</v>
      </c>
      <c r="B68" s="1" t="str">
        <f>Turvallinen_ja_toimintavarma!P66</f>
        <v/>
      </c>
      <c r="C68" s="1" t="str">
        <f>IF(AND(A68="Kuuluu",H68="Ei",B68&lt;&gt;"Extra"),"Kyllä","Ei")</f>
        <v>Ei</v>
      </c>
      <c r="D68" s="1" t="str">
        <f>IF(Kustannustehokas_ja_organisoitu!N5="x","Kyllä","Ei")</f>
        <v>Ei</v>
      </c>
      <c r="E68" s="1" t="str">
        <f>IF(ISBLANK(Kustannustehokas_ja_organisoitu!K5),"_Otsikkorivi",Kustannustehokas_ja_organisoitu!K5)</f>
        <v>Kustannustehokas ja organisoitu</v>
      </c>
      <c r="F68" s="1" t="str">
        <f>Kustannustehokas_ja_organisoitu!L5</f>
        <v>_Otsikkorivi</v>
      </c>
      <c r="G68" s="8" t="str">
        <f>IF(ISBLANK(Kustannustehokas_ja_organisoitu!R5),"Otsikkorivi",Kustannustehokas_ja_organisoitu!R5)</f>
        <v>5. Laitoksella on riittävät henkilöstöresurssit ja ammattitaitoinen henkilökunta, ja varallaolo on suunniteltu</v>
      </c>
      <c r="H68" s="1" t="str">
        <f>IF(ISBLANK(Kustannustehokas_ja_organisoitu!S5),"",Kustannustehokas_ja_organisoitu!S5)</f>
        <v/>
      </c>
    </row>
    <row r="69" spans="1:8" x14ac:dyDescent="0.35">
      <c r="A69" s="1" t="str">
        <f>Kustannustehokas_ja_organisoitu!I6</f>
        <v>Ei kuulu</v>
      </c>
      <c r="B69" s="1" t="str">
        <f>Kustannustehokas_ja_organisoitu!P6</f>
        <v/>
      </c>
      <c r="C69" s="1" t="str">
        <f t="shared" si="0"/>
        <v>Ei</v>
      </c>
      <c r="D69" s="1" t="str">
        <f>IF(Kustannustehokas_ja_organisoitu!N6="x","Kyllä","Ei")</f>
        <v>Ei</v>
      </c>
      <c r="E69" s="1" t="str">
        <f>IF(ISBLANK(Kustannustehokas_ja_organisoitu!K6),"_Otsikkorivi",Kustannustehokas_ja_organisoitu!K6)</f>
        <v>Kustannustehokas ja organisoitu</v>
      </c>
      <c r="F69" s="1" t="str">
        <f>Kustannustehokas_ja_organisoitu!L6</f>
        <v>5. Laitoksella on riittävät henkilöstöresurssit ja ammattitaitoinen henkilökunta, ja varallaolo on suunniteltu</v>
      </c>
      <c r="G69" s="8" t="str">
        <f>IF(ISBLANK(Kustannustehokas_ja_organisoitu!R6),"Otsikkorivi",Kustannustehokas_ja_organisoitu!R6)</f>
        <v>5.1 Henkilöstöllä on mahdollisuus kouluttautua ja työnantaja järjestää koulutusta havaitun tarpeen mukaan säännöllisesti.</v>
      </c>
      <c r="H69" s="1" t="str">
        <f>IF(ISBLANK(Kustannustehokas_ja_organisoitu!S6),"",Kustannustehokas_ja_organisoitu!S6)</f>
        <v/>
      </c>
    </row>
    <row r="70" spans="1:8" ht="29" x14ac:dyDescent="0.35">
      <c r="A70" s="1" t="str">
        <f>Kustannustehokas_ja_organisoitu!I7</f>
        <v>Ei kuulu</v>
      </c>
      <c r="B70" s="1" t="str">
        <f>Kustannustehokas_ja_organisoitu!P7</f>
        <v/>
      </c>
      <c r="C70" s="1" t="str">
        <f t="shared" ref="C70:C109" si="1">IF(AND(A70="Kuuluu",H70="Ei",B70&lt;&gt;"Extra"),"Kyllä","Ei")</f>
        <v>Ei</v>
      </c>
      <c r="D70" s="1" t="str">
        <f>IF(Kustannustehokas_ja_organisoitu!N7="x","Kyllä","Ei")</f>
        <v>Kyllä</v>
      </c>
      <c r="E70" s="1" t="str">
        <f>IF(ISBLANK(Kustannustehokas_ja_organisoitu!K7),"_Otsikkorivi",Kustannustehokas_ja_organisoitu!K7)</f>
        <v>Kustannustehokas ja organisoitu</v>
      </c>
      <c r="F70" s="1" t="str">
        <f>Kustannustehokas_ja_organisoitu!L7</f>
        <v>5. Laitoksella on riittävät henkilöstöresurssit ja ammattitaitoinen henkilökunta, ja varallaolo on suunniteltu</v>
      </c>
      <c r="G70" s="8" t="str">
        <f>IF(ISBLANK(Kustannustehokas_ja_organisoitu!R7),"Otsikkorivi",Kustannustehokas_ja_organisoitu!R7)</f>
        <v>5.2 Vesihuoltolaitoksella on varallaolojärjestelmä, joka turvaa laitoksen operatiivisen toiminnan 24/7. Työajan ulkopuolisen ajan johtamisjärjestelyt on sovittu ja ohjeistettu. Hälytysyhteystieto on olemassa.</v>
      </c>
      <c r="H70" s="1" t="str">
        <f>IF(ISBLANK(Kustannustehokas_ja_organisoitu!S7),"",Kustannustehokas_ja_organisoitu!S7)</f>
        <v/>
      </c>
    </row>
    <row r="71" spans="1:8" ht="29" x14ac:dyDescent="0.35">
      <c r="A71" s="1" t="str">
        <f>Kustannustehokas_ja_organisoitu!I8</f>
        <v>Ei kuulu</v>
      </c>
      <c r="B71" s="1" t="str">
        <f>Kustannustehokas_ja_organisoitu!P8</f>
        <v/>
      </c>
      <c r="C71" s="1" t="str">
        <f t="shared" si="1"/>
        <v>Ei</v>
      </c>
      <c r="D71" s="1" t="str">
        <f>IF(Kustannustehokas_ja_organisoitu!N8="x","Kyllä","Ei")</f>
        <v>Kyllä</v>
      </c>
      <c r="E71" s="1" t="str">
        <f>IF(ISBLANK(Kustannustehokas_ja_organisoitu!K8),"_Otsikkorivi",Kustannustehokas_ja_organisoitu!K8)</f>
        <v>Kustannustehokas ja organisoitu</v>
      </c>
      <c r="F71" s="1" t="str">
        <f>Kustannustehokas_ja_organisoitu!L8</f>
        <v>5. Laitoksella on riittävät henkilöstöresurssit ja ammattitaitoinen henkilökunta, ja varallaolo on suunniteltu</v>
      </c>
      <c r="G71" s="8" t="str">
        <f>IF(ISBLANK(Kustannustehokas_ja_organisoitu!R8),"Otsikkorivi",Kustannustehokas_ja_organisoitu!R8)</f>
        <v>5.3 Henkilökunta pystyy huolehtimaan kaikista operatiiviseen toimintaan liittyvistä kriittisistä toiminnoista itsenäisesti. TAI Vesihuoltolaitoksella on palvelusopimukset kriittisten toimintojen osalta.</v>
      </c>
      <c r="H71" s="1" t="str">
        <f>IF(ISBLANK(Kustannustehokas_ja_organisoitu!S8),"",Kustannustehokas_ja_organisoitu!S8)</f>
        <v/>
      </c>
    </row>
    <row r="72" spans="1:8" ht="29" x14ac:dyDescent="0.35">
      <c r="A72" s="1" t="str">
        <f>Kustannustehokas_ja_organisoitu!I9</f>
        <v>Ei kuulu</v>
      </c>
      <c r="B72" s="1" t="str">
        <f>Kustannustehokas_ja_organisoitu!P9</f>
        <v/>
      </c>
      <c r="C72" s="1" t="str">
        <f t="shared" si="1"/>
        <v>Ei</v>
      </c>
      <c r="D72" s="1" t="str">
        <f>IF(Kustannustehokas_ja_organisoitu!N9="x","Kyllä","Ei")</f>
        <v>Kyllä</v>
      </c>
      <c r="E72" s="1" t="str">
        <f>IF(ISBLANK(Kustannustehokas_ja_organisoitu!K9),"_Otsikkorivi",Kustannustehokas_ja_organisoitu!K9)</f>
        <v>Kustannustehokas ja organisoitu</v>
      </c>
      <c r="F72" s="1" t="str">
        <f>Kustannustehokas_ja_organisoitu!L9</f>
        <v>5. Laitoksella on riittävät henkilöstöresurssit ja ammattitaitoinen henkilökunta, ja varallaolo on suunniteltu</v>
      </c>
      <c r="G72" s="8" t="str">
        <f>IF(ISBLANK(Kustannustehokas_ja_organisoitu!R9),"Otsikkorivi",Kustannustehokas_ja_organisoitu!R9)</f>
        <v xml:space="preserve">5.4 Henkilöstölle on laadittu laitoksen omat osaamistasovaatimukset. Osaamistasomäärityksessä voidaan hyödyntää esim. Vesihuoltolaitosten osaamiskriteerit -hankkeen osaamiskartoitustyökalua. </v>
      </c>
      <c r="H72" s="1" t="str">
        <f>IF(ISBLANK(Kustannustehokas_ja_organisoitu!S9),"",Kustannustehokas_ja_organisoitu!S9)</f>
        <v/>
      </c>
    </row>
    <row r="73" spans="1:8" ht="29" x14ac:dyDescent="0.35">
      <c r="A73" s="1" t="str">
        <f>Kustannustehokas_ja_organisoitu!I10</f>
        <v>Ei kuulu</v>
      </c>
      <c r="B73" s="1" t="str">
        <f>Kustannustehokas_ja_organisoitu!P10</f>
        <v/>
      </c>
      <c r="C73" s="1" t="str">
        <f t="shared" si="1"/>
        <v>Ei</v>
      </c>
      <c r="D73" s="1" t="str">
        <f>IF(Kustannustehokas_ja_organisoitu!N10="x","Kyllä","Ei")</f>
        <v>Kyllä</v>
      </c>
      <c r="E73" s="1" t="str">
        <f>IF(ISBLANK(Kustannustehokas_ja_organisoitu!K10),"_Otsikkorivi",Kustannustehokas_ja_organisoitu!K10)</f>
        <v>Kustannustehokas ja organisoitu</v>
      </c>
      <c r="F73" s="1" t="str">
        <f>Kustannustehokas_ja_organisoitu!L10</f>
        <v>5. Laitoksella on riittävät henkilöstöresurssit ja ammattitaitoinen henkilökunta, ja varallaolo on suunniteltu</v>
      </c>
      <c r="G73" s="8" t="str">
        <f>IF(ISBLANK(Kustannustehokas_ja_organisoitu!R10),"Otsikkorivi",Kustannustehokas_ja_organisoitu!R10)</f>
        <v>5.5 Avainhenkilöt eli perustoiminnon ylläpitämisessä kriittiset henkilöt on tunnistettu ja nimetty. Avainhenkilöille on nimetty varahenkilöt, jotka on perehdytetty työnkuvaan.</v>
      </c>
      <c r="H73" s="1" t="str">
        <f>IF(ISBLANK(Kustannustehokas_ja_organisoitu!S10),"",Kustannustehokas_ja_organisoitu!S10)</f>
        <v/>
      </c>
    </row>
    <row r="74" spans="1:8" ht="29" x14ac:dyDescent="0.35">
      <c r="A74" s="1" t="str">
        <f>Kustannustehokas_ja_organisoitu!I11</f>
        <v>Ei kuulu</v>
      </c>
      <c r="B74" s="1" t="str">
        <f>Kustannustehokas_ja_organisoitu!P11</f>
        <v/>
      </c>
      <c r="C74" s="1" t="str">
        <f t="shared" si="1"/>
        <v>Ei</v>
      </c>
      <c r="D74" s="1" t="str">
        <f>IF(Kustannustehokas_ja_organisoitu!N11="x","Kyllä","Ei")</f>
        <v>Ei</v>
      </c>
      <c r="E74" s="1" t="str">
        <f>IF(ISBLANK(Kustannustehokas_ja_organisoitu!K11),"_Otsikkorivi",Kustannustehokas_ja_organisoitu!K11)</f>
        <v>Kustannustehokas ja organisoitu</v>
      </c>
      <c r="F74" s="1" t="str">
        <f>Kustannustehokas_ja_organisoitu!L11</f>
        <v>5. Laitoksella on riittävät henkilöstöresurssit ja ammattitaitoinen henkilökunta, ja varallaolo on suunniteltu</v>
      </c>
      <c r="G74" s="8" t="str">
        <f>IF(ISBLANK(Kustannustehokas_ja_organisoitu!R11),"Otsikkorivi",Kustannustehokas_ja_organisoitu!R11)</f>
        <v>5.6 Vesihuoltolaitoksella on henkilökuntaa riittävästi, jotta omat tai ostopalvelut pystytään hoitamaan ennalta laaditun aikataulun mukaisesti (materiaalit, suunnittelu, rakentaminen, kunnossapito) ja hankkeita ei tarvitse viivyttää henkilöresurssien takia.</v>
      </c>
      <c r="H74" s="1" t="str">
        <f>IF(ISBLANK(Kustannustehokas_ja_organisoitu!S11),"",Kustannustehokas_ja_organisoitu!S11)</f>
        <v/>
      </c>
    </row>
    <row r="75" spans="1:8" x14ac:dyDescent="0.35">
      <c r="A75" s="1" t="str">
        <f>Kustannustehokas_ja_organisoitu!I12</f>
        <v>Ei kuulu</v>
      </c>
      <c r="B75" s="1" t="str">
        <f>Kustannustehokas_ja_organisoitu!P12</f>
        <v/>
      </c>
      <c r="C75" s="1" t="str">
        <f t="shared" si="1"/>
        <v>Ei</v>
      </c>
      <c r="D75" s="1" t="str">
        <f>IF(Kustannustehokas_ja_organisoitu!N12="x","Kyllä","Ei")</f>
        <v>Ei</v>
      </c>
      <c r="E75" s="1" t="str">
        <f>IF(ISBLANK(Kustannustehokas_ja_organisoitu!K12),"_Otsikkorivi",Kustannustehokas_ja_organisoitu!K12)</f>
        <v>Kustannustehokas ja organisoitu</v>
      </c>
      <c r="F75" s="1" t="str">
        <f>Kustannustehokas_ja_organisoitu!L12</f>
        <v>_Otsikkorivi</v>
      </c>
      <c r="G75" s="8" t="str">
        <f>IF(ISBLANK(Kustannustehokas_ja_organisoitu!R12),"Otsikkorivi",Kustannustehokas_ja_organisoitu!R12)</f>
        <v>6. Omaisuuden hallinta, operointi ja kunnossapito on suunnitelmallista</v>
      </c>
      <c r="H75" s="1" t="str">
        <f>IF(ISBLANK(Kustannustehokas_ja_organisoitu!S12),"",Kustannustehokas_ja_organisoitu!S12)</f>
        <v/>
      </c>
    </row>
    <row r="76" spans="1:8" ht="43.5" x14ac:dyDescent="0.35">
      <c r="A76" s="1" t="str">
        <f>Kustannustehokas_ja_organisoitu!I13</f>
        <v>Ei kuulu</v>
      </c>
      <c r="B76" s="1" t="str">
        <f>Kustannustehokas_ja_organisoitu!P13</f>
        <v/>
      </c>
      <c r="C76" s="1" t="str">
        <f t="shared" si="1"/>
        <v>Ei</v>
      </c>
      <c r="D76" s="1" t="str">
        <f>IF(Kustannustehokas_ja_organisoitu!N13="x","Kyllä","Ei")</f>
        <v>Ei</v>
      </c>
      <c r="E76" s="1" t="str">
        <f>IF(ISBLANK(Kustannustehokas_ja_organisoitu!K13),"_Otsikkorivi",Kustannustehokas_ja_organisoitu!K13)</f>
        <v>Kustannustehokas ja organisoitu</v>
      </c>
      <c r="F76" s="1" t="str">
        <f>Kustannustehokas_ja_organisoitu!L13</f>
        <v>6. Omaisuuden hallinta, operointi ja kunnossapito on suunnitelmallista</v>
      </c>
      <c r="G76" s="8" t="str">
        <f>IF(ISBLANK(Kustannustehokas_ja_organisoitu!R13),"Otsikkorivi",Kustannustehokas_ja_organisoitu!R13)</f>
        <v>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v>
      </c>
      <c r="H76" s="1" t="str">
        <f>IF(ISBLANK(Kustannustehokas_ja_organisoitu!S13),"",Kustannustehokas_ja_organisoitu!S13)</f>
        <v/>
      </c>
    </row>
    <row r="77" spans="1:8" ht="29" x14ac:dyDescent="0.35">
      <c r="A77" s="1" t="str">
        <f>Kustannustehokas_ja_organisoitu!I14</f>
        <v>Ei kuulu</v>
      </c>
      <c r="B77" s="1" t="str">
        <f>Kustannustehokas_ja_organisoitu!P14</f>
        <v/>
      </c>
      <c r="C77" s="1" t="str">
        <f t="shared" si="1"/>
        <v>Ei</v>
      </c>
      <c r="D77" s="1" t="str">
        <f>IF(Kustannustehokas_ja_organisoitu!N14="x","Kyllä","Ei")</f>
        <v>Ei</v>
      </c>
      <c r="E77" s="1" t="str">
        <f>IF(ISBLANK(Kustannustehokas_ja_organisoitu!K14),"_Otsikkorivi",Kustannustehokas_ja_organisoitu!K14)</f>
        <v>Kustannustehokas ja organisoitu</v>
      </c>
      <c r="F77" s="1" t="str">
        <f>Kustannustehokas_ja_organisoitu!L14</f>
        <v>6. Omaisuuden hallinta, operointi ja kunnossapito on suunnitelmallista</v>
      </c>
      <c r="G77" s="8" t="str">
        <f>IF(ISBLANK(Kustannustehokas_ja_organisoitu!R14),"Otsikkorivi",Kustannustehokas_ja_organisoitu!R14)</f>
        <v>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v>
      </c>
      <c r="H77" s="1" t="str">
        <f>IF(ISBLANK(Kustannustehokas_ja_organisoitu!S14),"",Kustannustehokas_ja_organisoitu!S14)</f>
        <v/>
      </c>
    </row>
    <row r="78" spans="1:8" x14ac:dyDescent="0.35">
      <c r="A78" s="1" t="str">
        <f>Kustannustehokas_ja_organisoitu!I15</f>
        <v>Ei kuulu</v>
      </c>
      <c r="B78" s="1" t="str">
        <f>Kustannustehokas_ja_organisoitu!P15</f>
        <v/>
      </c>
      <c r="C78" s="1" t="str">
        <f t="shared" si="1"/>
        <v>Ei</v>
      </c>
      <c r="D78" s="1" t="str">
        <f>IF(Kustannustehokas_ja_organisoitu!N15="x","Kyllä","Ei")</f>
        <v>Ei</v>
      </c>
      <c r="E78" s="1" t="str">
        <f>IF(ISBLANK(Kustannustehokas_ja_organisoitu!K15),"_Otsikkorivi",Kustannustehokas_ja_organisoitu!K15)</f>
        <v>Kustannustehokas ja organisoitu</v>
      </c>
      <c r="F78" s="1" t="str">
        <f>Kustannustehokas_ja_organisoitu!L15</f>
        <v>6. Omaisuuden hallinta, operointi ja kunnossapito on suunnitelmallista</v>
      </c>
      <c r="G78" s="8" t="str">
        <f>IF(ISBLANK(Kustannustehokas_ja_organisoitu!R15),"Otsikkorivi",Kustannustehokas_ja_organisoitu!R15)</f>
        <v>6.2 Vesihuoltolaitoksen laitosten ja verkostojen automaatiojärjestelmistä kerätään luotettavaa tietoa sähköiseen muotoon.</v>
      </c>
      <c r="H78" s="1" t="str">
        <f>IF(ISBLANK(Kustannustehokas_ja_organisoitu!S15),"",Kustannustehokas_ja_organisoitu!S15)</f>
        <v/>
      </c>
    </row>
    <row r="79" spans="1:8" ht="29" x14ac:dyDescent="0.35">
      <c r="A79" s="1" t="str">
        <f>Kustannustehokas_ja_organisoitu!I16</f>
        <v>Ei kuulu</v>
      </c>
      <c r="B79" s="1" t="str">
        <f>Kustannustehokas_ja_organisoitu!P16</f>
        <v/>
      </c>
      <c r="C79" s="1" t="str">
        <f t="shared" si="1"/>
        <v>Ei</v>
      </c>
      <c r="D79" s="1" t="str">
        <f>IF(Kustannustehokas_ja_organisoitu!N16="x","Kyllä","Ei")</f>
        <v>Ei</v>
      </c>
      <c r="E79" s="1" t="str">
        <f>IF(ISBLANK(Kustannustehokas_ja_organisoitu!K16),"_Otsikkorivi",Kustannustehokas_ja_organisoitu!K16)</f>
        <v>Kustannustehokas ja organisoitu</v>
      </c>
      <c r="F79" s="1" t="str">
        <f>Kustannustehokas_ja_organisoitu!L16</f>
        <v>6. Omaisuuden hallinta, operointi ja kunnossapito on suunnitelmallista</v>
      </c>
      <c r="G79" s="8" t="str">
        <f>IF(ISBLANK(Kustannustehokas_ja_organisoitu!R16),"Otsikkorivi",Kustannustehokas_ja_organisoitu!R16)</f>
        <v>6.2 Vesihuoltolaitoksen laitoksen ja verkostojen automaatiojärjestelmistä saadaan ja kerätään jatkuvaa, ajantasaista ja luotettavaa tietoa sähköiseen muotoon.</v>
      </c>
      <c r="H79" s="1" t="str">
        <f>IF(ISBLANK(Kustannustehokas_ja_organisoitu!S16),"",Kustannustehokas_ja_organisoitu!S16)</f>
        <v/>
      </c>
    </row>
    <row r="80" spans="1:8" ht="43.5" x14ac:dyDescent="0.35">
      <c r="A80" s="1" t="str">
        <f>Kustannustehokas_ja_organisoitu!I17</f>
        <v>Ei kuulu</v>
      </c>
      <c r="B80" s="1" t="str">
        <f>Kustannustehokas_ja_organisoitu!P17</f>
        <v/>
      </c>
      <c r="C80" s="1" t="str">
        <f t="shared" si="1"/>
        <v>Ei</v>
      </c>
      <c r="D80" s="1" t="str">
        <f>IF(Kustannustehokas_ja_organisoitu!N17="x","Kyllä","Ei")</f>
        <v>Kyllä</v>
      </c>
      <c r="E80" s="1" t="str">
        <f>IF(ISBLANK(Kustannustehokas_ja_organisoitu!K17),"_Otsikkorivi",Kustannustehokas_ja_organisoitu!K17)</f>
        <v>Kustannustehokas ja organisoitu</v>
      </c>
      <c r="F80" s="1" t="str">
        <f>Kustannustehokas_ja_organisoitu!L17</f>
        <v>6. Omaisuuden hallinta, operointi ja kunnossapito on suunnitelmallista</v>
      </c>
      <c r="G80" s="8" t="str">
        <f>IF(ISBLANK(Kustannustehokas_ja_organisoitu!R17),"Otsikkorivi",Kustannustehokas_ja_organisoitu!R17)</f>
        <v>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v>
      </c>
      <c r="H80" s="1" t="str">
        <f>IF(ISBLANK(Kustannustehokas_ja_organisoitu!S17),"",Kustannustehokas_ja_organisoitu!S17)</f>
        <v/>
      </c>
    </row>
    <row r="81" spans="1:8" x14ac:dyDescent="0.35">
      <c r="A81" s="1" t="str">
        <f>Kustannustehokas_ja_organisoitu!I18</f>
        <v>Ei kuulu</v>
      </c>
      <c r="B81" s="1" t="str">
        <f>Kustannustehokas_ja_organisoitu!P18</f>
        <v/>
      </c>
      <c r="C81" s="1" t="str">
        <f t="shared" si="1"/>
        <v>Ei</v>
      </c>
      <c r="D81" s="1" t="str">
        <f>IF(Kustannustehokas_ja_organisoitu!N18="x","Kyllä","Ei")</f>
        <v>Ei</v>
      </c>
      <c r="E81" s="1" t="str">
        <f>IF(ISBLANK(Kustannustehokas_ja_organisoitu!K18),"_Otsikkorivi",Kustannustehokas_ja_organisoitu!K18)</f>
        <v>Kustannustehokas ja organisoitu</v>
      </c>
      <c r="F81" s="1" t="str">
        <f>Kustannustehokas_ja_organisoitu!L18</f>
        <v>6. Omaisuuden hallinta, operointi ja kunnossapito on suunnitelmallista</v>
      </c>
      <c r="G81" s="8" t="str">
        <f>IF(ISBLANK(Kustannustehokas_ja_organisoitu!R18),"Otsikkorivi",Kustannustehokas_ja_organisoitu!R18)</f>
        <v>6.4 Vesihuoltolaitos on määrittänyt toiminnalleen KPI-mittarit (key performance indicator), joita seurataan.</v>
      </c>
      <c r="H81" s="1" t="str">
        <f>IF(ISBLANK(Kustannustehokas_ja_organisoitu!S18),"",Kustannustehokas_ja_organisoitu!S18)</f>
        <v/>
      </c>
    </row>
    <row r="82" spans="1:8" x14ac:dyDescent="0.35">
      <c r="A82" s="1" t="str">
        <f>Kustannustehokas_ja_organisoitu!I19</f>
        <v>Ei kuulu</v>
      </c>
      <c r="B82" s="1" t="str">
        <f>Kustannustehokas_ja_organisoitu!P19</f>
        <v/>
      </c>
      <c r="C82" s="1" t="str">
        <f t="shared" si="1"/>
        <v>Ei</v>
      </c>
      <c r="D82" s="1" t="str">
        <f>IF(Kustannustehokas_ja_organisoitu!N19="x","Kyllä","Ei")</f>
        <v>Ei</v>
      </c>
      <c r="E82" s="1" t="str">
        <f>IF(ISBLANK(Kustannustehokas_ja_organisoitu!K19),"_Otsikkorivi",Kustannustehokas_ja_organisoitu!K19)</f>
        <v>Kustannustehokas ja organisoitu</v>
      </c>
      <c r="F82" s="1" t="str">
        <f>Kustannustehokas_ja_organisoitu!L19</f>
        <v>6. Omaisuuden hallinta, operointi ja kunnossapito on suunnitelmallista</v>
      </c>
      <c r="G82" s="8" t="str">
        <f>IF(ISBLANK(Kustannustehokas_ja_organisoitu!R19),"Otsikkorivi",Kustannustehokas_ja_organisoitu!R19)</f>
        <v>6.5 Vesihuoltolaitoksen laitoksista ja verkostoista kerätään järjestelmällisesti tietoa suunnittelun, rakentamisen, saneerauksen ja kunnossapidon osalta.</v>
      </c>
      <c r="H82" s="1" t="str">
        <f>IF(ISBLANK(Kustannustehokas_ja_organisoitu!S19),"",Kustannustehokas_ja_organisoitu!S19)</f>
        <v/>
      </c>
    </row>
    <row r="83" spans="1:8" x14ac:dyDescent="0.35">
      <c r="A83" s="1" t="str">
        <f>Kustannustehokas_ja_organisoitu!I20</f>
        <v>Ei kuulu</v>
      </c>
      <c r="B83" s="1" t="str">
        <f>Kustannustehokas_ja_organisoitu!P20</f>
        <v/>
      </c>
      <c r="C83" s="1" t="str">
        <f t="shared" si="1"/>
        <v>Ei</v>
      </c>
      <c r="D83" s="1" t="str">
        <f>IF(Kustannustehokas_ja_organisoitu!N20="x","Kyllä","Ei")</f>
        <v>Ei</v>
      </c>
      <c r="E83" s="1" t="str">
        <f>IF(ISBLANK(Kustannustehokas_ja_organisoitu!K20),"_Otsikkorivi",Kustannustehokas_ja_organisoitu!K20)</f>
        <v>Kustannustehokas ja organisoitu</v>
      </c>
      <c r="F83" s="1" t="str">
        <f>Kustannustehokas_ja_organisoitu!L20</f>
        <v>6. Omaisuuden hallinta, operointi ja kunnossapito on suunnitelmallista</v>
      </c>
      <c r="G83" s="8" t="str">
        <f>IF(ISBLANK(Kustannustehokas_ja_organisoitu!R20),"Otsikkorivi",Kustannustehokas_ja_organisoitu!R20)</f>
        <v>6.6 Vesihuoltolaitos käyttää sähköistä kunnossapitojärjestelmää.</v>
      </c>
      <c r="H83" s="1" t="str">
        <f>IF(ISBLANK(Kustannustehokas_ja_organisoitu!S20),"",Kustannustehokas_ja_organisoitu!S20)</f>
        <v/>
      </c>
    </row>
    <row r="84" spans="1:8" x14ac:dyDescent="0.35">
      <c r="A84" s="1" t="str">
        <f>Kustannustehokas_ja_organisoitu!I21</f>
        <v>Ei kuulu</v>
      </c>
      <c r="B84" s="1" t="str">
        <f>Kustannustehokas_ja_organisoitu!P21</f>
        <v/>
      </c>
      <c r="C84" s="1" t="str">
        <f t="shared" si="1"/>
        <v>Ei</v>
      </c>
      <c r="D84" s="1" t="str">
        <f>IF(Kustannustehokas_ja_organisoitu!N21="x","Kyllä","Ei")</f>
        <v>Ei</v>
      </c>
      <c r="E84" s="1" t="str">
        <f>IF(ISBLANK(Kustannustehokas_ja_organisoitu!K21),"_Otsikkorivi",Kustannustehokas_ja_organisoitu!K21)</f>
        <v>Kustannustehokas ja organisoitu</v>
      </c>
      <c r="F84" s="1" t="str">
        <f>Kustannustehokas_ja_organisoitu!L21</f>
        <v>6. Omaisuuden hallinta, operointi ja kunnossapito on suunnitelmallista</v>
      </c>
      <c r="G84" s="8" t="str">
        <f>IF(ISBLANK(Kustannustehokas_ja_organisoitu!R21),"Otsikkorivi",Kustannustehokas_ja_organisoitu!R21)</f>
        <v xml:space="preserve">6.7 Vesihuoltolaitoksen vedenjakeluverkoston vuotoja mitataan ja seurataan ja vuotavuusprosentti on määritelty verkostoalueittain. </v>
      </c>
      <c r="H84" s="1" t="str">
        <f>IF(ISBLANK(Kustannustehokas_ja_organisoitu!S21),"",Kustannustehokas_ja_organisoitu!S21)</f>
        <v/>
      </c>
    </row>
    <row r="85" spans="1:8" x14ac:dyDescent="0.35">
      <c r="A85" s="1" t="str">
        <f>Kustannustehokas_ja_organisoitu!I22</f>
        <v>Ei kuulu</v>
      </c>
      <c r="B85" s="1" t="str">
        <f>Kustannustehokas_ja_organisoitu!P22</f>
        <v/>
      </c>
      <c r="C85" s="1" t="str">
        <f t="shared" si="1"/>
        <v>Ei</v>
      </c>
      <c r="D85" s="1" t="str">
        <f>IF(Kustannustehokas_ja_organisoitu!N22="x","Kyllä","Ei")</f>
        <v>Ei</v>
      </c>
      <c r="E85" s="1" t="str">
        <f>IF(ISBLANK(Kustannustehokas_ja_organisoitu!K22),"_Otsikkorivi",Kustannustehokas_ja_organisoitu!K22)</f>
        <v>Kustannustehokas ja organisoitu</v>
      </c>
      <c r="F85" s="1" t="str">
        <f>Kustannustehokas_ja_organisoitu!L22</f>
        <v>6. Omaisuuden hallinta, operointi ja kunnossapito on suunnitelmallista</v>
      </c>
      <c r="G85" s="8" t="str">
        <f>IF(ISBLANK(Kustannustehokas_ja_organisoitu!R22),"Otsikkorivi",Kustannustehokas_ja_organisoitu!R22)</f>
        <v>6.8 Vesihuoltolaitoksella on pitkän aikavälin omaisuudenhallintasuunnitelma (20 v).</v>
      </c>
      <c r="H85" s="1" t="str">
        <f>IF(ISBLANK(Kustannustehokas_ja_organisoitu!S22),"",Kustannustehokas_ja_organisoitu!S22)</f>
        <v/>
      </c>
    </row>
    <row r="86" spans="1:8" x14ac:dyDescent="0.35">
      <c r="A86" s="1" t="str">
        <f>Kustannustehokas_ja_organisoitu!I23</f>
        <v>Ei kuulu</v>
      </c>
      <c r="B86" s="1" t="str">
        <f>Kustannustehokas_ja_organisoitu!P23</f>
        <v/>
      </c>
      <c r="C86" s="1" t="str">
        <f t="shared" si="1"/>
        <v>Ei</v>
      </c>
      <c r="D86" s="1" t="str">
        <f>IF(Kustannustehokas_ja_organisoitu!N23="x","Kyllä","Ei")</f>
        <v>Ei</v>
      </c>
      <c r="E86" s="1" t="str">
        <f>IF(ISBLANK(Kustannustehokas_ja_organisoitu!K23),"_Otsikkorivi",Kustannustehokas_ja_organisoitu!K23)</f>
        <v>Kustannustehokas ja organisoitu</v>
      </c>
      <c r="F86" s="1" t="str">
        <f>Kustannustehokas_ja_organisoitu!L23</f>
        <v>6. Omaisuuden hallinta, operointi ja kunnossapito on suunnitelmallista</v>
      </c>
      <c r="G86" s="8" t="str">
        <f>IF(ISBLANK(Kustannustehokas_ja_organisoitu!R23),"Otsikkorivi",Kustannustehokas_ja_organisoitu!R23)</f>
        <v>6.9 Vesihuoltolaitoksella on käytössä auditoitu omaisuudenhallinnan johtamisjärjestelmä (esim. ISO 55000).</v>
      </c>
      <c r="H86" s="1" t="str">
        <f>IF(ISBLANK(Kustannustehokas_ja_organisoitu!S23),"",Kustannustehokas_ja_organisoitu!S23)</f>
        <v/>
      </c>
    </row>
    <row r="87" spans="1:8" ht="29" x14ac:dyDescent="0.35">
      <c r="A87" s="1" t="str">
        <f>Kustannustehokas_ja_organisoitu!I24</f>
        <v>Ei kuulu</v>
      </c>
      <c r="B87" s="1" t="str">
        <f>Kustannustehokas_ja_organisoitu!P24</f>
        <v/>
      </c>
      <c r="C87" s="1" t="str">
        <f t="shared" si="1"/>
        <v>Ei</v>
      </c>
      <c r="D87" s="1" t="str">
        <f>IF(Kustannustehokas_ja_organisoitu!N24="x","Kyllä","Ei")</f>
        <v>Ei</v>
      </c>
      <c r="E87" s="1" t="str">
        <f>IF(ISBLANK(Kustannustehokas_ja_organisoitu!K24),"_Otsikkorivi",Kustannustehokas_ja_organisoitu!K24)</f>
        <v>Kustannustehokas ja organisoitu</v>
      </c>
      <c r="F87" s="1" t="str">
        <f>Kustannustehokas_ja_organisoitu!L24</f>
        <v>6. Omaisuuden hallinta, operointi ja kunnossapito on suunnitelmallista</v>
      </c>
      <c r="G87" s="8" t="str">
        <f>IF(ISBLANK(Kustannustehokas_ja_organisoitu!R24),"Otsikkorivi",Kustannustehokas_ja_organisoitu!R24)</f>
        <v>6.10 Vesihuoltolaitoksen laitosten ja verkoston automaatiojärjestelmistä saadaan jatkuvaa, ajantasaista ja virheetöntä tietoa räätälöidysti raportoituna organisaation eri tasoille. Tietoa hyödynnetään päätöksenteossa.</v>
      </c>
      <c r="H87" s="1" t="str">
        <f>IF(ISBLANK(Kustannustehokas_ja_organisoitu!S24),"",Kustannustehokas_ja_organisoitu!S24)</f>
        <v/>
      </c>
    </row>
    <row r="88" spans="1:8" x14ac:dyDescent="0.35">
      <c r="A88" s="1" t="str">
        <f>Kustannustehokas_ja_organisoitu!I25</f>
        <v>Ei kuulu</v>
      </c>
      <c r="B88" s="1" t="str">
        <f>Kustannustehokas_ja_organisoitu!P25</f>
        <v/>
      </c>
      <c r="C88" s="1" t="str">
        <f t="shared" si="1"/>
        <v>Ei</v>
      </c>
      <c r="D88" s="1" t="str">
        <f>IF(Kustannustehokas_ja_organisoitu!N25="x","Kyllä","Ei")</f>
        <v>Ei</v>
      </c>
      <c r="E88" s="1" t="str">
        <f>IF(ISBLANK(Kustannustehokas_ja_organisoitu!K25),"_Otsikkorivi",Kustannustehokas_ja_organisoitu!K25)</f>
        <v>Kustannustehokas ja organisoitu</v>
      </c>
      <c r="F88" s="1" t="str">
        <f>Kustannustehokas_ja_organisoitu!L25</f>
        <v>_Otsikkorivi</v>
      </c>
      <c r="G88" s="8" t="str">
        <f>IF(ISBLANK(Kustannustehokas_ja_organisoitu!R25),"Otsikkorivi",Kustannustehokas_ja_organisoitu!R25)</f>
        <v>7. Johtaminen on suunniteltua ja toiminta on kannattavaa</v>
      </c>
      <c r="H88" s="1" t="str">
        <f>IF(ISBLANK(Kustannustehokas_ja_organisoitu!S25),"",Kustannustehokas_ja_organisoitu!S25)</f>
        <v/>
      </c>
    </row>
    <row r="89" spans="1:8" ht="29" x14ac:dyDescent="0.35">
      <c r="A89" s="1" t="str">
        <f>Kustannustehokas_ja_organisoitu!I26</f>
        <v>Ei kuulu</v>
      </c>
      <c r="B89" s="1" t="str">
        <f>Kustannustehokas_ja_organisoitu!P26</f>
        <v/>
      </c>
      <c r="C89" s="1" t="str">
        <f t="shared" si="1"/>
        <v>Ei</v>
      </c>
      <c r="D89" s="1" t="str">
        <f>IF(Kustannustehokas_ja_organisoitu!N26="x","Kyllä","Ei")</f>
        <v>Ei</v>
      </c>
      <c r="E89" s="1" t="str">
        <f>IF(ISBLANK(Kustannustehokas_ja_organisoitu!K26),"_Otsikkorivi",Kustannustehokas_ja_organisoitu!K26)</f>
        <v>Kustannustehokas ja organisoitu</v>
      </c>
      <c r="F89" s="1" t="str">
        <f>Kustannustehokas_ja_organisoitu!L26</f>
        <v>7. Johtaminen on suunniteltua ja toiminta on kannattavaa</v>
      </c>
      <c r="G89" s="8" t="str">
        <f>IF(ISBLANK(Kustannustehokas_ja_organisoitu!R26),"Otsikkorivi",Kustannustehokas_ja_organisoitu!R26)</f>
        <v>7.1 Vesihuoltolaitoksella on selkeä kulut ja tuotot erittelevä taloushallintajärjestelmä tai vastaava pienille laitoksille soveltuva järjestelmä luokan 1 laitoksille.</v>
      </c>
      <c r="H89" s="1" t="str">
        <f>IF(ISBLANK(Kustannustehokas_ja_organisoitu!S26),"",Kustannustehokas_ja_organisoitu!S26)</f>
        <v/>
      </c>
    </row>
    <row r="90" spans="1:8" ht="29" x14ac:dyDescent="0.35">
      <c r="A90" s="1" t="str">
        <f>Kustannustehokas_ja_organisoitu!I27</f>
        <v>Ei kuulu</v>
      </c>
      <c r="B90" s="1" t="str">
        <f>Kustannustehokas_ja_organisoitu!P27</f>
        <v/>
      </c>
      <c r="C90" s="1" t="str">
        <f t="shared" si="1"/>
        <v>Ei</v>
      </c>
      <c r="D90" s="1" t="str">
        <f>IF(Kustannustehokas_ja_organisoitu!N27="x","Kyllä","Ei")</f>
        <v>Kyllä</v>
      </c>
      <c r="E90" s="1" t="str">
        <f>IF(ISBLANK(Kustannustehokas_ja_organisoitu!K27),"_Otsikkorivi",Kustannustehokas_ja_organisoitu!K27)</f>
        <v>Kustannustehokas ja organisoitu</v>
      </c>
      <c r="F90" s="1" t="str">
        <f>Kustannustehokas_ja_organisoitu!L27</f>
        <v>7. Johtaminen on suunniteltua ja toiminta on kannattavaa</v>
      </c>
      <c r="G90" s="8" t="str">
        <f>IF(ISBLANK(Kustannustehokas_ja_organisoitu!R27),"Otsikkorivi",Kustannustehokas_ja_organisoitu!R27)</f>
        <v>7.2 Vesihuoltolaitoksella on ajantasainen pitkän aikavälin (min. 20 v) investointiohjelma, jossa on otettu huomioon vesihuollon ja kunnan tarpeet, huomioitu vesihuollon kehittämissuunnitelma sekä toimintavarmuus.</v>
      </c>
      <c r="H90" s="1" t="str">
        <f>IF(ISBLANK(Kustannustehokas_ja_organisoitu!S27),"",Kustannustehokas_ja_organisoitu!S27)</f>
        <v/>
      </c>
    </row>
    <row r="91" spans="1:8" ht="29" x14ac:dyDescent="0.35">
      <c r="A91" s="1" t="str">
        <f>Kustannustehokas_ja_organisoitu!I28</f>
        <v>Ei kuulu</v>
      </c>
      <c r="B91" s="1" t="str">
        <f>Kustannustehokas_ja_organisoitu!P28</f>
        <v/>
      </c>
      <c r="C91" s="1" t="str">
        <f t="shared" si="1"/>
        <v>Ei</v>
      </c>
      <c r="D91" s="1" t="str">
        <f>IF(Kustannustehokas_ja_organisoitu!N28="x","Kyllä","Ei")</f>
        <v>Kyllä</v>
      </c>
      <c r="E91" s="1" t="str">
        <f>IF(ISBLANK(Kustannustehokas_ja_organisoitu!K28),"_Otsikkorivi",Kustannustehokas_ja_organisoitu!K28)</f>
        <v>Kustannustehokas ja organisoitu</v>
      </c>
      <c r="F91" s="1" t="str">
        <f>Kustannustehokas_ja_organisoitu!L28</f>
        <v>7. Johtaminen on suunniteltua ja toiminta on kannattavaa</v>
      </c>
      <c r="G91" s="8" t="str">
        <f>IF(ISBLANK(Kustannustehokas_ja_organisoitu!R28),"Otsikkorivi",Kustannustehokas_ja_organisoitu!R28)</f>
        <v>7.3 Vesihuoltolaitoksen perimät maksut ovat sellaiset, että pitkällä aikavälillä (20 v.) voidaan kattaa vesihuoltolaitoksen suunnitellut uus- ja korjausinvestoinnit ja käyttökustannukset.</v>
      </c>
      <c r="H91" s="1" t="str">
        <f>IF(ISBLANK(Kustannustehokas_ja_organisoitu!S28),"",Kustannustehokas_ja_organisoitu!S28)</f>
        <v/>
      </c>
    </row>
    <row r="92" spans="1:8" x14ac:dyDescent="0.35">
      <c r="A92" s="1" t="str">
        <f>Kustannustehokas_ja_organisoitu!I29</f>
        <v>Ei kuulu</v>
      </c>
      <c r="B92" s="1" t="str">
        <f>Kustannustehokas_ja_organisoitu!P29</f>
        <v/>
      </c>
      <c r="C92" s="1" t="str">
        <f t="shared" si="1"/>
        <v>Ei</v>
      </c>
      <c r="D92" s="1" t="str">
        <f>IF(Kustannustehokas_ja_organisoitu!N29="x","Kyllä","Ei")</f>
        <v>Ei</v>
      </c>
      <c r="E92" s="1" t="str">
        <f>IF(ISBLANK(Kustannustehokas_ja_organisoitu!K29),"_Otsikkorivi",Kustannustehokas_ja_organisoitu!K29)</f>
        <v>Kustannustehokas ja organisoitu</v>
      </c>
      <c r="F92" s="1" t="str">
        <f>Kustannustehokas_ja_organisoitu!L29</f>
        <v>7. Johtaminen on suunniteltua ja toiminta on kannattavaa</v>
      </c>
      <c r="G92" s="8" t="str">
        <f>IF(ISBLANK(Kustannustehokas_ja_organisoitu!R29),"Otsikkorivi",Kustannustehokas_ja_organisoitu!R29)</f>
        <v>7.4 Vesihuoltolaitoksella on laadunhallintajärjestelmä tai toiminta on muuten järjestelmällistä ja kirjallisesti/sähköisesti dokumentoitua.</v>
      </c>
      <c r="H92" s="1" t="str">
        <f>IF(ISBLANK(Kustannustehokas_ja_organisoitu!S29),"",Kustannustehokas_ja_organisoitu!S29)</f>
        <v/>
      </c>
    </row>
    <row r="93" spans="1:8" ht="29" x14ac:dyDescent="0.35">
      <c r="A93" s="1" t="str">
        <f>Kustannustehokas_ja_organisoitu!I30</f>
        <v>Ei kuulu</v>
      </c>
      <c r="B93" s="1" t="str">
        <f>Kustannustehokas_ja_organisoitu!P30</f>
        <v/>
      </c>
      <c r="C93" s="1" t="str">
        <f t="shared" si="1"/>
        <v>Ei</v>
      </c>
      <c r="D93" s="1" t="str">
        <f>IF(Kustannustehokas_ja_organisoitu!N30="x","Kyllä","Ei")</f>
        <v>Kyllä</v>
      </c>
      <c r="E93" s="1" t="str">
        <f>IF(ISBLANK(Kustannustehokas_ja_organisoitu!K30),"_Otsikkorivi",Kustannustehokas_ja_organisoitu!K30)</f>
        <v>Kustannustehokas ja organisoitu</v>
      </c>
      <c r="F93" s="1" t="str">
        <f>Kustannustehokas_ja_organisoitu!L30</f>
        <v>7. Johtaminen on suunniteltua ja toiminta on kannattavaa</v>
      </c>
      <c r="G93" s="8" t="str">
        <f>IF(ISBLANK(Kustannustehokas_ja_organisoitu!R30),"Otsikkorivi",Kustannustehokas_ja_organisoitu!R30)</f>
        <v>7.5 Vesihuoltolaitoksen tietojen hallinta on suunniteltua ja järjestelmällistä (esim. tiedonhallintasuunnitelma ja järjestelmä) eli varmistetaan tietojen turvallinen luokittelu, käsittely ja säilytys.</v>
      </c>
      <c r="H93" s="1" t="str">
        <f>IF(ISBLANK(Kustannustehokas_ja_organisoitu!S30),"",Kustannustehokas_ja_organisoitu!S30)</f>
        <v/>
      </c>
    </row>
    <row r="94" spans="1:8" x14ac:dyDescent="0.35">
      <c r="A94" s="1" t="str">
        <f>Kustannustehokas_ja_organisoitu!I31</f>
        <v>Ei kuulu</v>
      </c>
      <c r="B94" s="1" t="str">
        <f>Kustannustehokas_ja_organisoitu!P31</f>
        <v/>
      </c>
      <c r="C94" s="1" t="str">
        <f t="shared" si="1"/>
        <v>Ei</v>
      </c>
      <c r="D94" s="1" t="str">
        <f>IF(Kustannustehokas_ja_organisoitu!N31="x","Kyllä","Ei")</f>
        <v>Ei</v>
      </c>
      <c r="E94" s="1" t="str">
        <f>IF(ISBLANK(Kustannustehokas_ja_organisoitu!K31),"_Otsikkorivi",Kustannustehokas_ja_organisoitu!K31)</f>
        <v>Kustannustehokas ja organisoitu</v>
      </c>
      <c r="F94" s="1" t="str">
        <f>Kustannustehokas_ja_organisoitu!L31</f>
        <v>7. Johtaminen on suunniteltua ja toiminta on kannattavaa</v>
      </c>
      <c r="G94" s="8" t="str">
        <f>IF(ISBLANK(Kustannustehokas_ja_organisoitu!R31),"Otsikkorivi",Kustannustehokas_ja_organisoitu!R31)</f>
        <v>7.6 Vesihuoltolaitoksen toiminnasta kerätään järjestelmällisesti tietoa operatiivisen toiminnan (=päivittäisen toiminnan johtamisen) osalta.</v>
      </c>
      <c r="H94" s="1" t="str">
        <f>IF(ISBLANK(Kustannustehokas_ja_organisoitu!S31),"",Kustannustehokas_ja_organisoitu!S31)</f>
        <v/>
      </c>
    </row>
    <row r="95" spans="1:8" x14ac:dyDescent="0.35">
      <c r="A95" s="1" t="str">
        <f>Kustannustehokas_ja_organisoitu!I32</f>
        <v>Ei kuulu</v>
      </c>
      <c r="B95" s="1" t="str">
        <f>Kustannustehokas_ja_organisoitu!P32</f>
        <v/>
      </c>
      <c r="C95" s="1" t="str">
        <f t="shared" si="1"/>
        <v>Ei</v>
      </c>
      <c r="D95" s="1" t="str">
        <f>IF(Kustannustehokas_ja_organisoitu!N32="x","Kyllä","Ei")</f>
        <v>Ei</v>
      </c>
      <c r="E95" s="1" t="str">
        <f>IF(ISBLANK(Kustannustehokas_ja_organisoitu!K32),"_Otsikkorivi",Kustannustehokas_ja_organisoitu!K32)</f>
        <v>Kustannustehokas ja organisoitu</v>
      </c>
      <c r="F95" s="1" t="str">
        <f>Kustannustehokas_ja_organisoitu!L32</f>
        <v>7. Johtaminen on suunniteltua ja toiminta on kannattavaa</v>
      </c>
      <c r="G95" s="8" t="str">
        <f>IF(ISBLANK(Kustannustehokas_ja_organisoitu!R32),"Otsikkorivi",Kustannustehokas_ja_organisoitu!R32)</f>
        <v>7.6 Vesihuoltolaitoksen operatiivisesta toiminnasta kerätään järjestelmällisesti oleellista tietoa, jota hyödynnetään johtamisessa</v>
      </c>
      <c r="H95" s="1" t="str">
        <f>IF(ISBLANK(Kustannustehokas_ja_organisoitu!S32),"",Kustannustehokas_ja_organisoitu!S32)</f>
        <v/>
      </c>
    </row>
    <row r="96" spans="1:8" ht="29" x14ac:dyDescent="0.35">
      <c r="A96" s="1" t="str">
        <f>Kustannustehokas_ja_organisoitu!I33</f>
        <v>Ei kuulu</v>
      </c>
      <c r="B96" s="1" t="str">
        <f>Kustannustehokas_ja_organisoitu!P33</f>
        <v/>
      </c>
      <c r="C96" s="1" t="str">
        <f t="shared" si="1"/>
        <v>Ei</v>
      </c>
      <c r="D96" s="1" t="str">
        <f>IF(Kustannustehokas_ja_organisoitu!N33="x","Kyllä","Ei")</f>
        <v>Ei</v>
      </c>
      <c r="E96" s="1" t="str">
        <f>IF(ISBLANK(Kustannustehokas_ja_organisoitu!K33),"_Otsikkorivi",Kustannustehokas_ja_organisoitu!K33)</f>
        <v>Kustannustehokas ja organisoitu</v>
      </c>
      <c r="F96" s="1" t="str">
        <f>Kustannustehokas_ja_organisoitu!L33</f>
        <v>7. Johtaminen on suunniteltua ja toiminta on kannattavaa</v>
      </c>
      <c r="G96" s="8" t="str">
        <f>IF(ISBLANK(Kustannustehokas_ja_organisoitu!R33),"Otsikkorivi",Kustannustehokas_ja_organisoitu!R33)</f>
        <v>7.7 Vesihuoltolaitoksella on käytössä operatiivisen toiminnan johtamisjärjestelmä (sisältää esim. vastuunjaon ja tehtäväkuvaukset) ja jatkuvan parantamisen toimintatapa.</v>
      </c>
      <c r="H96" s="1" t="str">
        <f>IF(ISBLANK(Kustannustehokas_ja_organisoitu!S33),"",Kustannustehokas_ja_organisoitu!S33)</f>
        <v/>
      </c>
    </row>
    <row r="97" spans="1:8" x14ac:dyDescent="0.35">
      <c r="A97" s="1" t="str">
        <f>Kustannustehokas_ja_organisoitu!I34</f>
        <v>Ei kuulu</v>
      </c>
      <c r="B97" s="1" t="str">
        <f>Kustannustehokas_ja_organisoitu!P34</f>
        <v/>
      </c>
      <c r="C97" s="1" t="str">
        <f t="shared" si="1"/>
        <v>Ei</v>
      </c>
      <c r="D97" s="1" t="str">
        <f>IF(Kustannustehokas_ja_organisoitu!N34="x","Kyllä","Ei")</f>
        <v>Ei</v>
      </c>
      <c r="E97" s="1" t="str">
        <f>IF(ISBLANK(Kustannustehokas_ja_organisoitu!K34),"_Otsikkorivi",Kustannustehokas_ja_organisoitu!K34)</f>
        <v>Kustannustehokas ja organisoitu</v>
      </c>
      <c r="F97" s="1" t="str">
        <f>Kustannustehokas_ja_organisoitu!L34</f>
        <v>7. Johtaminen on suunniteltua ja toiminta on kannattavaa</v>
      </c>
      <c r="G97" s="8" t="str">
        <f>IF(ISBLANK(Kustannustehokas_ja_organisoitu!R34),"Otsikkorivi",Kustannustehokas_ja_organisoitu!R34)</f>
        <v>7.8 Vesihuoltolaitos on kartoittanut tarpeen erisuuruisille perus- ja liittymismaksuille eri alueilla ja ottanut ne käyttöön niiden soveltuessa.</v>
      </c>
      <c r="H97" s="1" t="str">
        <f>IF(ISBLANK(Kustannustehokas_ja_organisoitu!S34),"",Kustannustehokas_ja_organisoitu!S34)</f>
        <v/>
      </c>
    </row>
    <row r="98" spans="1:8" ht="29" x14ac:dyDescent="0.35">
      <c r="A98" s="1" t="str">
        <f>Kustannustehokas_ja_organisoitu!I35</f>
        <v>Ei kuulu</v>
      </c>
      <c r="B98" s="1" t="str">
        <f>Kustannustehokas_ja_organisoitu!P35</f>
        <v/>
      </c>
      <c r="C98" s="1" t="str">
        <f t="shared" si="1"/>
        <v>Ei</v>
      </c>
      <c r="D98" s="1" t="str">
        <f>IF(Kustannustehokas_ja_organisoitu!N35="x","Kyllä","Ei")</f>
        <v>Ei</v>
      </c>
      <c r="E98" s="1" t="str">
        <f>IF(ISBLANK(Kustannustehokas_ja_organisoitu!K35),"_Otsikkorivi",Kustannustehokas_ja_organisoitu!K35)</f>
        <v>Kustannustehokas ja organisoitu</v>
      </c>
      <c r="F98" s="1" t="str">
        <f>Kustannustehokas_ja_organisoitu!L35</f>
        <v>7. Johtaminen on suunniteltua ja toiminta on kannattavaa</v>
      </c>
      <c r="G98" s="8" t="str">
        <f>IF(ISBLANK(Kustannustehokas_ja_organisoitu!R35),"Otsikkorivi",Kustannustehokas_ja_organisoitu!R35)</f>
        <v>7.9 Vesihuoltolaitoksen henkilöstöllä ja johdolla on tulostavoitteet ja tulosmittarit tai muu määritelty ja mitattava ajuri, jota seurataan ja hyödynnetään toiminnan kehittämisessä.</v>
      </c>
      <c r="H98" s="1" t="str">
        <f>IF(ISBLANK(Kustannustehokas_ja_organisoitu!S35),"",Kustannustehokas_ja_organisoitu!S35)</f>
        <v/>
      </c>
    </row>
    <row r="99" spans="1:8" x14ac:dyDescent="0.35">
      <c r="A99" s="1" t="str">
        <f>Kustannustehokas_ja_organisoitu!I36</f>
        <v>Ei kuulu</v>
      </c>
      <c r="B99" s="1" t="str">
        <f>Kustannustehokas_ja_organisoitu!P36</f>
        <v/>
      </c>
      <c r="C99" s="1" t="str">
        <f t="shared" si="1"/>
        <v>Ei</v>
      </c>
      <c r="D99" s="1" t="str">
        <f>IF(Kustannustehokas_ja_organisoitu!N36="x","Kyllä","Ei")</f>
        <v>Ei</v>
      </c>
      <c r="E99" s="1" t="str">
        <f>IF(ISBLANK(Kustannustehokas_ja_organisoitu!K36),"_Otsikkorivi",Kustannustehokas_ja_organisoitu!K36)</f>
        <v>Kustannustehokas ja organisoitu</v>
      </c>
      <c r="F99" s="1" t="str">
        <f>Kustannustehokas_ja_organisoitu!L36</f>
        <v>7. Johtaminen on suunniteltua ja toiminta on kannattavaa</v>
      </c>
      <c r="G99" s="8" t="str">
        <f>IF(ISBLANK(Kustannustehokas_ja_organisoitu!R36),"Otsikkorivi",Kustannustehokas_ja_organisoitu!R36)</f>
        <v>7.10 Vesihuoltolaitoksella on käytössä auditoidut ISO 9001-laatujärjestelmä sekä ISO 14001 -ympäristöjärjestelmä tai muu vastaava järjestelmä.</v>
      </c>
      <c r="H99" s="1" t="str">
        <f>IF(ISBLANK(Kustannustehokas_ja_organisoitu!S36),"",Kustannustehokas_ja_organisoitu!S36)</f>
        <v/>
      </c>
    </row>
    <row r="100" spans="1:8" x14ac:dyDescent="0.35">
      <c r="A100" s="1" t="str">
        <f>Kustannustehokas_ja_organisoitu!I37</f>
        <v>Ei kuulu</v>
      </c>
      <c r="B100" s="1" t="str">
        <f>Kustannustehokas_ja_organisoitu!P37</f>
        <v/>
      </c>
      <c r="C100" s="1" t="str">
        <f t="shared" si="1"/>
        <v>Ei</v>
      </c>
      <c r="D100" s="1" t="str">
        <f>IF(Kustannustehokas_ja_organisoitu!N37="x","Kyllä","Ei")</f>
        <v>Ei</v>
      </c>
      <c r="E100" s="1" t="str">
        <f>IF(ISBLANK(Kustannustehokas_ja_organisoitu!K37),"_Otsikkorivi",Kustannustehokas_ja_organisoitu!K37)</f>
        <v>Kustannustehokas ja organisoitu</v>
      </c>
      <c r="F100" s="1" t="str">
        <f>Kustannustehokas_ja_organisoitu!L37</f>
        <v>7. Johtaminen on suunniteltua ja toiminta on kannattavaa</v>
      </c>
      <c r="G100" s="8" t="str">
        <f>IF(ISBLANK(Kustannustehokas_ja_organisoitu!R37),"Otsikkorivi",Kustannustehokas_ja_organisoitu!R37)</f>
        <v>7.11 Vesihuoltolaitoksella on käytössä auditoitu ISO 45001 työterveys- ja turvallisuusjärjestelmä tai muu vastaava.</v>
      </c>
      <c r="H100" s="1" t="str">
        <f>IF(ISBLANK(Kustannustehokas_ja_organisoitu!S37),"",Kustannustehokas_ja_organisoitu!S37)</f>
        <v/>
      </c>
    </row>
    <row r="101" spans="1:8" x14ac:dyDescent="0.35">
      <c r="A101" s="1" t="str">
        <f>Kustannustehokas_ja_organisoitu!I38</f>
        <v>Ei kuulu</v>
      </c>
      <c r="B101" s="1" t="str">
        <f>Kustannustehokas_ja_organisoitu!P38</f>
        <v/>
      </c>
      <c r="C101" s="1" t="str">
        <f t="shared" si="1"/>
        <v>Ei</v>
      </c>
      <c r="D101" s="1" t="str">
        <f>IF(Kustannustehokas_ja_organisoitu!N38="x","Kyllä","Ei")</f>
        <v>Ei</v>
      </c>
      <c r="E101" s="1" t="str">
        <f>IF(ISBLANK(Kustannustehokas_ja_organisoitu!K38),"_Otsikkorivi",Kustannustehokas_ja_organisoitu!K38)</f>
        <v>Kustannustehokas ja organisoitu</v>
      </c>
      <c r="F101" s="1" t="str">
        <f>Kustannustehokas_ja_organisoitu!L38</f>
        <v>_Otsikkorivi</v>
      </c>
      <c r="G101" s="8" t="str">
        <f>IF(ISBLANK(Kustannustehokas_ja_organisoitu!R38),"Otsikkorivi",Kustannustehokas_ja_organisoitu!R38)</f>
        <v>8. Käyttötalouden hallinta ja hankinnat ovat suunniteltuja, tehostettuja ja läpinäkyviä.</v>
      </c>
      <c r="H101" s="1" t="str">
        <f>IF(ISBLANK(Kustannustehokas_ja_organisoitu!S38),"",Kustannustehokas_ja_organisoitu!S38)</f>
        <v/>
      </c>
    </row>
    <row r="102" spans="1:8" ht="29" x14ac:dyDescent="0.35">
      <c r="A102" s="1" t="str">
        <f>Kustannustehokas_ja_organisoitu!I39</f>
        <v>Ei kuulu</v>
      </c>
      <c r="B102" s="1" t="str">
        <f>Kustannustehokas_ja_organisoitu!P39</f>
        <v/>
      </c>
      <c r="C102" s="1" t="str">
        <f t="shared" si="1"/>
        <v>Ei</v>
      </c>
      <c r="D102" s="1" t="str">
        <f>IF(Kustannustehokas_ja_organisoitu!N39="x","Kyllä","Ei")</f>
        <v>Ei</v>
      </c>
      <c r="E102" s="1" t="str">
        <f>IF(ISBLANK(Kustannustehokas_ja_organisoitu!K39),"_Otsikkorivi",Kustannustehokas_ja_organisoitu!K39)</f>
        <v>Kustannustehokas ja organisoitu</v>
      </c>
      <c r="F102" s="1" t="str">
        <f>Kustannustehokas_ja_organisoitu!L39</f>
        <v>8. Käyttötalouden hallinta ja hankinnat ovat suunniteltuja, tehostettuja ja läpinäkyviä.</v>
      </c>
      <c r="G102" s="8" t="str">
        <f>IF(ISBLANK(Kustannustehokas_ja_organisoitu!R39),"Otsikkorivi",Kustannustehokas_ja_organisoitu!R39)</f>
        <v>8.1 Vesihuoltolaitoksen hyödykkeiden kulutusta seurataan. Hyödykkeellä tarkoitetaan vesilaitoksen toiminnassaan käyttämiä aineita, tarvikkeita tai palveluita, kuten esim. kemikaaleja, sähköä, rakentamispalvelua tms.</v>
      </c>
      <c r="H102" s="1" t="str">
        <f>IF(ISBLANK(Kustannustehokas_ja_organisoitu!S39),"",Kustannustehokas_ja_organisoitu!S39)</f>
        <v/>
      </c>
    </row>
    <row r="103" spans="1:8" x14ac:dyDescent="0.35">
      <c r="A103" s="1" t="str">
        <f>Kustannustehokas_ja_organisoitu!I40</f>
        <v>Ei kuulu</v>
      </c>
      <c r="B103" s="1" t="str">
        <f>Kustannustehokas_ja_organisoitu!P40</f>
        <v/>
      </c>
      <c r="C103" s="1" t="str">
        <f t="shared" si="1"/>
        <v>Ei</v>
      </c>
      <c r="D103" s="1" t="str">
        <f>IF(Kustannustehokas_ja_organisoitu!N40="x","Kyllä","Ei")</f>
        <v>Ei</v>
      </c>
      <c r="E103" s="1" t="str">
        <f>IF(ISBLANK(Kustannustehokas_ja_organisoitu!K40),"_Otsikkorivi",Kustannustehokas_ja_organisoitu!K40)</f>
        <v>Kustannustehokas ja organisoitu</v>
      </c>
      <c r="F103" s="1" t="str">
        <f>Kustannustehokas_ja_organisoitu!L40</f>
        <v>8. Käyttötalouden hallinta ja hankinnat ovat suunniteltuja, tehostettuja ja läpinäkyviä.</v>
      </c>
      <c r="G103" s="8" t="str">
        <f>IF(ISBLANK(Kustannustehokas_ja_organisoitu!R40),"Otsikkorivi",Kustannustehokas_ja_organisoitu!R40)</f>
        <v xml:space="preserve">8.2 Vesihuoltolaitoksen kustannuksia seurataan ja käyttötaloutta tehostetaan aktiivisesti. </v>
      </c>
      <c r="H103" s="1" t="str">
        <f>IF(ISBLANK(Kustannustehokas_ja_organisoitu!S40),"",Kustannustehokas_ja_organisoitu!S40)</f>
        <v/>
      </c>
    </row>
    <row r="104" spans="1:8" ht="29" x14ac:dyDescent="0.35">
      <c r="A104" s="1" t="str">
        <f>Kustannustehokas_ja_organisoitu!I41</f>
        <v>Ei kuulu</v>
      </c>
      <c r="B104" s="1" t="str">
        <f>Kustannustehokas_ja_organisoitu!P41</f>
        <v/>
      </c>
      <c r="C104" s="1" t="str">
        <f t="shared" si="1"/>
        <v>Ei</v>
      </c>
      <c r="D104" s="1" t="str">
        <f>IF(Kustannustehokas_ja_organisoitu!N41="x","Kyllä","Ei")</f>
        <v>Ei</v>
      </c>
      <c r="E104" s="1" t="str">
        <f>IF(ISBLANK(Kustannustehokas_ja_organisoitu!K41),"_Otsikkorivi",Kustannustehokas_ja_organisoitu!K41)</f>
        <v>Kustannustehokas ja organisoitu</v>
      </c>
      <c r="F104" s="1" t="str">
        <f>Kustannustehokas_ja_organisoitu!L41</f>
        <v>8. Käyttötalouden hallinta ja hankinnat ovat suunniteltuja, tehostettuja ja läpinäkyviä.</v>
      </c>
      <c r="G104" s="8" t="str">
        <f>IF(ISBLANK(Kustannustehokas_ja_organisoitu!R41),"Otsikkorivi",Kustannustehokas_ja_organisoitu!R41)</f>
        <v xml:space="preserve">8.3 Vesihuoltolaitoksella tai kunnalla on vesihuoltolaitosta koskevat hankintaohjeet. Hankinnoissa otetaan tarkoituksenmukaisesti huomioon laatu- ja hintakriteerit. </v>
      </c>
      <c r="H104" s="1" t="str">
        <f>IF(ISBLANK(Kustannustehokas_ja_organisoitu!S41),"",Kustannustehokas_ja_organisoitu!S41)</f>
        <v/>
      </c>
    </row>
    <row r="105" spans="1:8" x14ac:dyDescent="0.35">
      <c r="A105" s="1" t="str">
        <f>Kustannustehokas_ja_organisoitu!I42</f>
        <v>Ei kuulu</v>
      </c>
      <c r="B105" s="1" t="str">
        <f>Kustannustehokas_ja_organisoitu!P42</f>
        <v/>
      </c>
      <c r="C105" s="1" t="str">
        <f t="shared" si="1"/>
        <v>Ei</v>
      </c>
      <c r="D105" s="1" t="str">
        <f>IF(Kustannustehokas_ja_organisoitu!N42="x","Kyllä","Ei")</f>
        <v>Ei</v>
      </c>
      <c r="E105" s="1" t="str">
        <f>IF(ISBLANK(Kustannustehokas_ja_organisoitu!K42),"_Otsikkorivi",Kustannustehokas_ja_organisoitu!K42)</f>
        <v>Kustannustehokas ja organisoitu</v>
      </c>
      <c r="F105" s="1" t="str">
        <f>Kustannustehokas_ja_organisoitu!L42</f>
        <v>8. Käyttötalouden hallinta ja hankinnat ovat suunniteltuja, tehostettuja ja läpinäkyviä.</v>
      </c>
      <c r="G105" s="8" t="str">
        <f>IF(ISBLANK(Kustannustehokas_ja_organisoitu!R42),"Otsikkorivi",Kustannustehokas_ja_organisoitu!R42)</f>
        <v>8.4 Vesihuoltolaitoksen henkilöstö on saanut koulutusta hankintojen ja palvelujen kilpailutukseen ja sopimuksiin sekä palvelujen ja toimitusten valvontaan.</v>
      </c>
      <c r="H105" s="1" t="str">
        <f>IF(ISBLANK(Kustannustehokas_ja_organisoitu!S42),"",Kustannustehokas_ja_organisoitu!S42)</f>
        <v/>
      </c>
    </row>
    <row r="106" spans="1:8" x14ac:dyDescent="0.35">
      <c r="A106" s="1" t="str">
        <f>Kustannustehokas_ja_organisoitu!I43</f>
        <v>Ei kuulu</v>
      </c>
      <c r="B106" s="1" t="str">
        <f>Kustannustehokas_ja_organisoitu!P43</f>
        <v/>
      </c>
      <c r="C106" s="1" t="str">
        <f t="shared" si="1"/>
        <v>Ei</v>
      </c>
      <c r="D106" s="1" t="str">
        <f>IF(Kustannustehokas_ja_organisoitu!N43="x","Kyllä","Ei")</f>
        <v>Ei</v>
      </c>
      <c r="E106" s="1" t="str">
        <f>IF(ISBLANK(Kustannustehokas_ja_organisoitu!K43),"_Otsikkorivi",Kustannustehokas_ja_organisoitu!K43)</f>
        <v>Kustannustehokas ja organisoitu</v>
      </c>
      <c r="F106" s="1" t="str">
        <f>Kustannustehokas_ja_organisoitu!L43</f>
        <v>8. Käyttötalouden hallinta ja hankinnat ovat suunniteltuja, tehostettuja ja läpinäkyviä.</v>
      </c>
      <c r="G106" s="8" t="str">
        <f>IF(ISBLANK(Kustannustehokas_ja_organisoitu!R43),"Otsikkorivi",Kustannustehokas_ja_organisoitu!R43)</f>
        <v xml:space="preserve">8.5 Vesihuoltolaitoksella on puitesopimukset keskeisten tavaroiden ja palveluiden hankinnan osalta. </v>
      </c>
      <c r="H106" s="1" t="str">
        <f>IF(ISBLANK(Kustannustehokas_ja_organisoitu!S43),"",Kustannustehokas_ja_organisoitu!S43)</f>
        <v/>
      </c>
    </row>
    <row r="107" spans="1:8" x14ac:dyDescent="0.35">
      <c r="A107" s="1" t="str">
        <f>Kustannustehokas_ja_organisoitu!I44</f>
        <v>Ei kuulu</v>
      </c>
      <c r="B107" s="1" t="str">
        <f>Kustannustehokas_ja_organisoitu!P44</f>
        <v/>
      </c>
      <c r="C107" s="1" t="str">
        <f t="shared" si="1"/>
        <v>Ei</v>
      </c>
      <c r="D107" s="1" t="str">
        <f>IF(Kustannustehokas_ja_organisoitu!N44="x","Kyllä","Ei")</f>
        <v>Ei</v>
      </c>
      <c r="E107" s="1" t="str">
        <f>IF(ISBLANK(Kustannustehokas_ja_organisoitu!K44),"_Otsikkorivi",Kustannustehokas_ja_organisoitu!K44)</f>
        <v>Kustannustehokas ja organisoitu</v>
      </c>
      <c r="F107" s="1" t="str">
        <f>Kustannustehokas_ja_organisoitu!L44</f>
        <v>8. Käyttötalouden hallinta ja hankinnat ovat suunniteltuja, tehostettuja ja läpinäkyviä.</v>
      </c>
      <c r="G107" s="8" t="str">
        <f>IF(ISBLANK(Kustannustehokas_ja_organisoitu!R44),"Otsikkorivi",Kustannustehokas_ja_organisoitu!R44)</f>
        <v>8.6 Vesihuoltolaitos kerää ja käyttää tunnuslukutietoa systemaattisesti ja vertailee toimintaansa kokoluokan ja lähialueen muihin vastaaviin toimijoihin.</v>
      </c>
      <c r="H107" s="1" t="str">
        <f>IF(ISBLANK(Kustannustehokas_ja_organisoitu!S44),"",Kustannustehokas_ja_organisoitu!S44)</f>
        <v/>
      </c>
    </row>
    <row r="108" spans="1:8" ht="29" x14ac:dyDescent="0.35">
      <c r="A108" s="1" t="str">
        <f>Kustannustehokas_ja_organisoitu!I45</f>
        <v>Ei kuulu</v>
      </c>
      <c r="B108" s="1" t="str">
        <f>Kustannustehokas_ja_organisoitu!P45</f>
        <v/>
      </c>
      <c r="C108" s="1" t="str">
        <f t="shared" si="1"/>
        <v>Ei</v>
      </c>
      <c r="D108" s="1" t="str">
        <f>IF(Kustannustehokas_ja_organisoitu!N45="x","Kyllä","Ei")</f>
        <v>Ei</v>
      </c>
      <c r="E108" s="1" t="str">
        <f>IF(ISBLANK(Kustannustehokas_ja_organisoitu!K45),"_Otsikkorivi",Kustannustehokas_ja_organisoitu!K45)</f>
        <v>Kustannustehokas ja organisoitu</v>
      </c>
      <c r="F108" s="1" t="str">
        <f>Kustannustehokas_ja_organisoitu!L45</f>
        <v>8. Käyttötalouden hallinta ja hankinnat ovat suunniteltuja, tehostettuja ja läpinäkyviä.</v>
      </c>
      <c r="G108" s="8" t="str">
        <f>IF(ISBLANK(Kustannustehokas_ja_organisoitu!R45),"Otsikkorivi",Kustannustehokas_ja_organisoitu!R45)</f>
        <v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v>
      </c>
      <c r="H108" s="1" t="str">
        <f>IF(ISBLANK(Kustannustehokas_ja_organisoitu!S45),"",Kustannustehokas_ja_organisoitu!S45)</f>
        <v/>
      </c>
    </row>
    <row r="109" spans="1:8" x14ac:dyDescent="0.35">
      <c r="A109" s="1" t="str">
        <f>Kustannustehokas_ja_organisoitu!I46</f>
        <v>Ei kuulu</v>
      </c>
      <c r="B109" s="1" t="str">
        <f>Kustannustehokas_ja_organisoitu!P46</f>
        <v/>
      </c>
      <c r="C109" s="1" t="str">
        <f t="shared" si="1"/>
        <v>Ei</v>
      </c>
      <c r="D109" s="1" t="str">
        <f>IF(Kustannustehokas_ja_organisoitu!N46="x","Kyllä","Ei")</f>
        <v>Ei</v>
      </c>
      <c r="E109" s="1" t="str">
        <f>IF(ISBLANK(Kustannustehokas_ja_organisoitu!K46),"_Otsikkorivi",Kustannustehokas_ja_organisoitu!K46)</f>
        <v>Kustannustehokas ja organisoitu</v>
      </c>
      <c r="F109" s="1" t="str">
        <f>Kustannustehokas_ja_organisoitu!L46</f>
        <v>8. Käyttötalouden hallinta ja hankinnat ovat suunniteltuja, tehostettuja ja läpinäkyviä.</v>
      </c>
      <c r="G109" s="8" t="str">
        <f>IF(ISBLANK(Kustannustehokas_ja_organisoitu!R46),"Otsikkorivi",Kustannustehokas_ja_organisoitu!R46)</f>
        <v>8.8 Vesihuoltolaitoksen hankintakriteereihin sisältyvät sosiaalinen ja ympäristövastuullisuus</v>
      </c>
      <c r="H109" s="1" t="str">
        <f>IF(ISBLANK(Kustannustehokas_ja_organisoitu!S46),"",Kustannustehokas_ja_organisoitu!S46)</f>
        <v/>
      </c>
    </row>
    <row r="110" spans="1:8" x14ac:dyDescent="0.35">
      <c r="A110" s="1" t="str">
        <f>Kestävä_ja_kehittyvä!I5</f>
        <v>Ei kuulu</v>
      </c>
      <c r="B110" s="1" t="str">
        <f>Kestävä_ja_kehittyvä!P5</f>
        <v/>
      </c>
      <c r="C110" s="1" t="str">
        <f t="shared" ref="C110:C141" si="2">IF(AND(A110="Kuuluu",H110="Ei",B110&lt;&gt;"Extra"),"Kyllä","Ei")</f>
        <v>Ei</v>
      </c>
      <c r="D110" s="1" t="str">
        <f>IF(Kestävä_ja_kehittyvä!N5="x","Kyllä","Ei")</f>
        <v>Ei</v>
      </c>
      <c r="E110" s="1" t="str">
        <f>IF(ISBLANK(Kestävä_ja_kehittyvä!K5),"_Otsikkorivi",Kestävä_ja_kehittyvä!K5)</f>
        <v>Kestävä ja kehittyvä</v>
      </c>
      <c r="F110" s="1" t="str">
        <f>Kestävä_ja_kehittyvä!L5</f>
        <v>_Otsikkorivi</v>
      </c>
      <c r="G110" s="8" t="str">
        <f>IF(ISBLANK(Kestävä_ja_kehittyvä!R5),"Otsikkorivi",Kestävä_ja_kehittyvä!R5)</f>
        <v>9. Jätevesien käsittelyn ja johtamisen ympäristökuormitus minimoidaan</v>
      </c>
      <c r="H110" s="1" t="str">
        <f>IF(ISBLANK(Kestävä_ja_kehittyvä!S5),"",Kestävä_ja_kehittyvä!S5)</f>
        <v/>
      </c>
    </row>
    <row r="111" spans="1:8" x14ac:dyDescent="0.35">
      <c r="A111" s="1" t="str">
        <f>Kestävä_ja_kehittyvä!I6</f>
        <v>Ei kuulu</v>
      </c>
      <c r="B111" s="1" t="str">
        <f>Kestävä_ja_kehittyvä!P6</f>
        <v/>
      </c>
      <c r="C111" s="1" t="str">
        <f t="shared" si="2"/>
        <v>Ei</v>
      </c>
      <c r="D111" s="1" t="str">
        <f>IF(Kestävä_ja_kehittyvä!N6="x","Kyllä","Ei")</f>
        <v>Kyllä</v>
      </c>
      <c r="E111" s="1" t="str">
        <f>IF(ISBLANK(Kestävä_ja_kehittyvä!K6),"_Otsikkorivi",Kestävä_ja_kehittyvä!K6)</f>
        <v>Kestävä ja kehittyvä</v>
      </c>
      <c r="F111" s="1" t="str">
        <f>Kestävä_ja_kehittyvä!L6</f>
        <v>9. Jätevesien käsittelyn ja johtamisen ympäristökuormitus minimoidaan</v>
      </c>
      <c r="G111" s="8" t="str">
        <f>IF(ISBLANK(Kestävä_ja_kehittyvä!R6),"Otsikkorivi",Kestävä_ja_kehittyvä!R6)</f>
        <v>9.1 Jätevesiverkoston vuotovesiprosentti &lt; 30 %</v>
      </c>
      <c r="H111" s="1" t="str">
        <f>IF(ISBLANK(Kestävä_ja_kehittyvä!S6),"",Kestävä_ja_kehittyvä!S6)</f>
        <v/>
      </c>
    </row>
    <row r="112" spans="1:8" x14ac:dyDescent="0.35">
      <c r="A112" s="1" t="str">
        <f>Kestävä_ja_kehittyvä!I7</f>
        <v>Ei kuulu</v>
      </c>
      <c r="B112" s="1" t="str">
        <f>Kestävä_ja_kehittyvä!P7</f>
        <v/>
      </c>
      <c r="C112" s="1" t="str">
        <f t="shared" si="2"/>
        <v>Ei</v>
      </c>
      <c r="D112" s="1" t="str">
        <f>IF(Kestävä_ja_kehittyvä!N7="x","Kyllä","Ei")</f>
        <v>Kyllä</v>
      </c>
      <c r="E112" s="1" t="str">
        <f>IF(ISBLANK(Kestävä_ja_kehittyvä!K7),"_Otsikkorivi",Kestävä_ja_kehittyvä!K7)</f>
        <v>Kestävä ja kehittyvä</v>
      </c>
      <c r="F112" s="1" t="str">
        <f>Kestävä_ja_kehittyvä!L7</f>
        <v>9. Jätevesien käsittelyn ja johtamisen ympäristökuormitus minimoidaan</v>
      </c>
      <c r="G112" s="8" t="str">
        <f>IF(ISBLANK(Kestävä_ja_kehittyvä!R7),"Otsikkorivi",Kestävä_ja_kehittyvä!R7)</f>
        <v>9.2 Viemäritukosten määrä &lt; 5 kpl/100 km/v</v>
      </c>
      <c r="H112" s="1" t="str">
        <f>IF(ISBLANK(Kestävä_ja_kehittyvä!S7),"",Kestävä_ja_kehittyvä!S7)</f>
        <v/>
      </c>
    </row>
    <row r="113" spans="1:8" x14ac:dyDescent="0.35">
      <c r="A113" s="1" t="str">
        <f>Kestävä_ja_kehittyvä!I8</f>
        <v>Ei kuulu</v>
      </c>
      <c r="B113" s="1" t="str">
        <f>Kestävä_ja_kehittyvä!P8</f>
        <v/>
      </c>
      <c r="C113" s="1" t="str">
        <f t="shared" si="2"/>
        <v>Ei</v>
      </c>
      <c r="D113" s="1" t="str">
        <f>IF(Kestävä_ja_kehittyvä!N8="x","Kyllä","Ei")</f>
        <v>Kyllä</v>
      </c>
      <c r="E113" s="1" t="str">
        <f>IF(ISBLANK(Kestävä_ja_kehittyvä!K8),"_Otsikkorivi",Kestävä_ja_kehittyvä!K8)</f>
        <v>Kestävä ja kehittyvä</v>
      </c>
      <c r="F113" s="1" t="str">
        <f>Kestävä_ja_kehittyvä!L8</f>
        <v>9. Jätevesien käsittelyn ja johtamisen ympäristökuormitus minimoidaan</v>
      </c>
      <c r="G113" s="8" t="str">
        <f>IF(ISBLANK(Kestävä_ja_kehittyvä!R8),"Otsikkorivi",Kestävä_ja_kehittyvä!R8)</f>
        <v>9.3 Laitosohitusten määrä jätevedestä &lt; 0,5 %</v>
      </c>
      <c r="H113" s="1" t="str">
        <f>IF(ISBLANK(Kestävä_ja_kehittyvä!S8),"",Kestävä_ja_kehittyvä!S8)</f>
        <v/>
      </c>
    </row>
    <row r="114" spans="1:8" ht="29" x14ac:dyDescent="0.35">
      <c r="A114" s="1" t="str">
        <f>Kestävä_ja_kehittyvä!I9</f>
        <v>Ei kuulu</v>
      </c>
      <c r="B114" s="1" t="str">
        <f>Kestävä_ja_kehittyvä!P9</f>
        <v/>
      </c>
      <c r="C114" s="1" t="str">
        <f t="shared" si="2"/>
        <v>Ei</v>
      </c>
      <c r="D114" s="1" t="str">
        <f>IF(Kestävä_ja_kehittyvä!N9="x","Kyllä","Ei")</f>
        <v>Ei</v>
      </c>
      <c r="E114" s="1" t="str">
        <f>IF(ISBLANK(Kestävä_ja_kehittyvä!K9),"_Otsikkorivi",Kestävä_ja_kehittyvä!K9)</f>
        <v>Kestävä ja kehittyvä</v>
      </c>
      <c r="F114" s="1" t="str">
        <f>Kestävä_ja_kehittyvä!L9</f>
        <v>9. Jätevesien käsittelyn ja johtamisen ympäristökuormitus minimoidaan</v>
      </c>
      <c r="G114" s="8" t="str">
        <f>IF(ISBLANK(Kestävä_ja_kehittyvä!R9),"Otsikkorivi",Kestävä_ja_kehittyvä!R9)</f>
        <v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v>
      </c>
      <c r="H114" s="1" t="str">
        <f>IF(ISBLANK(Kestävä_ja_kehittyvä!S9),"",Kestävä_ja_kehittyvä!S9)</f>
        <v/>
      </c>
    </row>
    <row r="115" spans="1:8" x14ac:dyDescent="0.35">
      <c r="A115" s="1" t="str">
        <f>Kestävä_ja_kehittyvä!I10</f>
        <v>Ei kuulu</v>
      </c>
      <c r="B115" s="1" t="str">
        <f>Kestävä_ja_kehittyvä!P10</f>
        <v/>
      </c>
      <c r="C115" s="1" t="str">
        <f t="shared" si="2"/>
        <v>Ei</v>
      </c>
      <c r="D115" s="1" t="str">
        <f>IF(Kestävä_ja_kehittyvä!N10="x","Kyllä","Ei")</f>
        <v>Kyllä</v>
      </c>
      <c r="E115" s="1" t="str">
        <f>IF(ISBLANK(Kestävä_ja_kehittyvä!K10),"_Otsikkorivi",Kestävä_ja_kehittyvä!K10)</f>
        <v>Kestävä ja kehittyvä</v>
      </c>
      <c r="F115" s="1" t="str">
        <f>Kestävä_ja_kehittyvä!L10</f>
        <v>9. Jätevesien käsittelyn ja johtamisen ympäristökuormitus minimoidaan</v>
      </c>
      <c r="G115" s="8" t="str">
        <f>IF(ISBLANK(Kestävä_ja_kehittyvä!R10),"Otsikkorivi",Kestävä_ja_kehittyvä!R10)</f>
        <v xml:space="preserve">9.5 Vesihuoltolaitoksen sekaviemäröinnin vähentämisestä on tehty suunnitelma ja sitä vähennetään vuosittain </v>
      </c>
      <c r="H115" s="1" t="str">
        <f>IF(ISBLANK(Kestävä_ja_kehittyvä!S10),"",Kestävä_ja_kehittyvä!S10)</f>
        <v/>
      </c>
    </row>
    <row r="116" spans="1:8" ht="29" x14ac:dyDescent="0.35">
      <c r="A116" s="1" t="str">
        <f>Kestävä_ja_kehittyvä!I11</f>
        <v>Ei kuulu</v>
      </c>
      <c r="B116" s="1" t="str">
        <f>Kestävä_ja_kehittyvä!P11</f>
        <v/>
      </c>
      <c r="C116" s="1" t="str">
        <f t="shared" si="2"/>
        <v>Ei</v>
      </c>
      <c r="D116" s="1" t="str">
        <f>IF(Kestävä_ja_kehittyvä!N11="x","Kyllä","Ei")</f>
        <v>Ei</v>
      </c>
      <c r="E116" s="1" t="str">
        <f>IF(ISBLANK(Kestävä_ja_kehittyvä!K11),"_Otsikkorivi",Kestävä_ja_kehittyvä!K11)</f>
        <v>Kestävä ja kehittyvä</v>
      </c>
      <c r="F116" s="1" t="str">
        <f>Kestävä_ja_kehittyvä!L11</f>
        <v>9. Jätevesien käsittelyn ja johtamisen ympäristökuormitus minimoidaan</v>
      </c>
      <c r="G116" s="8" t="str">
        <f>IF(ISBLANK(Kestävä_ja_kehittyvä!R11),"Otsikkorivi",Kestävä_ja_kehittyvä!R11)</f>
        <v xml:space="preserve">9.6 Vesihuoltolaitoksen viemäriverkoston vuotoja mitataan ja seurataan ja vuotavuusprosentti on määritelty soveltuvin osin pumppaamo- ja verkostoalueittain.  </v>
      </c>
      <c r="H116" s="1" t="str">
        <f>IF(ISBLANK(Kestävä_ja_kehittyvä!S11),"",Kestävä_ja_kehittyvä!S11)</f>
        <v/>
      </c>
    </row>
    <row r="117" spans="1:8" x14ac:dyDescent="0.35">
      <c r="A117" s="1" t="str">
        <f>Kestävä_ja_kehittyvä!I12</f>
        <v>Ei kuulu</v>
      </c>
      <c r="B117" s="1" t="str">
        <f>Kestävä_ja_kehittyvä!P12</f>
        <v/>
      </c>
      <c r="C117" s="1" t="str">
        <f t="shared" si="2"/>
        <v>Ei</v>
      </c>
      <c r="D117" s="1" t="str">
        <f>IF(Kestävä_ja_kehittyvä!N12="x","Kyllä","Ei")</f>
        <v>Ei</v>
      </c>
      <c r="E117" s="1" t="str">
        <f>IF(ISBLANK(Kestävä_ja_kehittyvä!K12),"_Otsikkorivi",Kestävä_ja_kehittyvä!K12)</f>
        <v>Kestävä ja kehittyvä</v>
      </c>
      <c r="F117" s="1" t="str">
        <f>Kestävä_ja_kehittyvä!L12</f>
        <v>9. Jätevesien käsittelyn ja johtamisen ympäristökuormitus minimoidaan</v>
      </c>
      <c r="G117" s="8" t="str">
        <f>IF(ISBLANK(Kestävä_ja_kehittyvä!R12),"Otsikkorivi",Kestävä_ja_kehittyvä!R12)</f>
        <v>9.7 Vesihuoltolaitos on laatinut vuotovesien hallintasuunnitelman ja vuosittaisen investointisuunnitelman vuotovesien vähentämiseksi ja sitä toteutetaan.</v>
      </c>
      <c r="H117" s="1" t="str">
        <f>IF(ISBLANK(Kestävä_ja_kehittyvä!S12),"",Kestävä_ja_kehittyvä!S12)</f>
        <v/>
      </c>
    </row>
    <row r="118" spans="1:8" x14ac:dyDescent="0.35">
      <c r="A118" s="1" t="str">
        <f>Kestävä_ja_kehittyvä!I13</f>
        <v>Ei kuulu</v>
      </c>
      <c r="B118" s="1" t="str">
        <f>Kestävä_ja_kehittyvä!P13</f>
        <v/>
      </c>
      <c r="C118" s="1" t="str">
        <f t="shared" si="2"/>
        <v>Ei</v>
      </c>
      <c r="D118" s="1" t="str">
        <f>IF(Kestävä_ja_kehittyvä!N13="x","Kyllä","Ei")</f>
        <v>Ei</v>
      </c>
      <c r="E118" s="1" t="str">
        <f>IF(ISBLANK(Kestävä_ja_kehittyvä!K13),"_Otsikkorivi",Kestävä_ja_kehittyvä!K13)</f>
        <v>Kestävä ja kehittyvä</v>
      </c>
      <c r="F118" s="1" t="str">
        <f>Kestävä_ja_kehittyvä!L13</f>
        <v>9. Jätevesien käsittelyn ja johtamisen ympäristökuormitus minimoidaan</v>
      </c>
      <c r="G118" s="8" t="str">
        <f>IF(ISBLANK(Kestävä_ja_kehittyvä!R13),"Otsikkorivi",Kestävä_ja_kehittyvä!R13)</f>
        <v>9.8 Vesihuoltolaitos on liittynyt vesiensuojelusopimukseen (Green Deal), tavoitteena vapaaehtoisesti vähentää kuormitusta alle lupaehtojen.</v>
      </c>
      <c r="H118" s="1" t="str">
        <f>IF(ISBLANK(Kestävä_ja_kehittyvä!S13),"",Kestävä_ja_kehittyvä!S13)</f>
        <v/>
      </c>
    </row>
    <row r="119" spans="1:8" x14ac:dyDescent="0.35">
      <c r="A119" s="1" t="str">
        <f>Kestävä_ja_kehittyvä!I14</f>
        <v>Ei kuulu</v>
      </c>
      <c r="B119" s="1" t="str">
        <f>Kestävä_ja_kehittyvä!P14</f>
        <v/>
      </c>
      <c r="C119" s="1" t="str">
        <f t="shared" si="2"/>
        <v>Ei</v>
      </c>
      <c r="D119" s="1" t="str">
        <f>IF(Kestävä_ja_kehittyvä!N14="x","Kyllä","Ei")</f>
        <v>Ei</v>
      </c>
      <c r="E119" s="1" t="str">
        <f>IF(ISBLANK(Kestävä_ja_kehittyvä!K14),"_Otsikkorivi",Kestävä_ja_kehittyvä!K14)</f>
        <v>Kestävä ja kehittyvä</v>
      </c>
      <c r="F119" s="1" t="str">
        <f>Kestävä_ja_kehittyvä!L14</f>
        <v>_Otsikkorivi</v>
      </c>
      <c r="G119" s="8" t="str">
        <f>IF(ISBLANK(Kestävä_ja_kehittyvä!R14),"Otsikkorivi",Kestävä_ja_kehittyvä!R14)</f>
        <v>10. Kestävä ja energiatehokas</v>
      </c>
      <c r="H119" s="1" t="str">
        <f>IF(ISBLANK(Kestävä_ja_kehittyvä!S14),"",Kestävä_ja_kehittyvä!S14)</f>
        <v/>
      </c>
    </row>
    <row r="120" spans="1:8" x14ac:dyDescent="0.35">
      <c r="A120" s="1" t="str">
        <f>Kestävä_ja_kehittyvä!I15</f>
        <v>Ei kuulu</v>
      </c>
      <c r="B120" s="1" t="str">
        <f>Kestävä_ja_kehittyvä!P15</f>
        <v/>
      </c>
      <c r="C120" s="1" t="str">
        <f t="shared" si="2"/>
        <v>Ei</v>
      </c>
      <c r="D120" s="1" t="str">
        <f>IF(Kestävä_ja_kehittyvä!N15="x","Kyllä","Ei")</f>
        <v>Ei</v>
      </c>
      <c r="E120" s="1" t="str">
        <f>IF(ISBLANK(Kestävä_ja_kehittyvä!K15),"_Otsikkorivi",Kestävä_ja_kehittyvä!K15)</f>
        <v>Kestävä ja kehittyvä</v>
      </c>
      <c r="F120" s="1" t="str">
        <f>Kestävä_ja_kehittyvä!L15</f>
        <v>10. Kestävä ja energiatehokas</v>
      </c>
      <c r="G120" s="8" t="str">
        <f>IF(ISBLANK(Kestävä_ja_kehittyvä!R15),"Otsikkorivi",Kestävä_ja_kehittyvä!R15)</f>
        <v xml:space="preserve">10.1 Vesihuoltolaitoksen energiankulutusta seurataan ja siihen kiinnitetään huomiota </v>
      </c>
      <c r="H120" s="1" t="str">
        <f>IF(ISBLANK(Kestävä_ja_kehittyvä!S15),"",Kestävä_ja_kehittyvä!S15)</f>
        <v/>
      </c>
    </row>
    <row r="121" spans="1:8" ht="29" x14ac:dyDescent="0.35">
      <c r="A121" s="1" t="str">
        <f>Kestävä_ja_kehittyvä!I16</f>
        <v>Ei kuulu</v>
      </c>
      <c r="B121" s="1" t="str">
        <f>Kestävä_ja_kehittyvä!P16</f>
        <v/>
      </c>
      <c r="C121" s="1" t="str">
        <f t="shared" si="2"/>
        <v>Ei</v>
      </c>
      <c r="D121" s="1" t="str">
        <f>IF(Kestävä_ja_kehittyvä!N16="x","Kyllä","Ei")</f>
        <v>Ei</v>
      </c>
      <c r="E121" s="1" t="str">
        <f>IF(ISBLANK(Kestävä_ja_kehittyvä!K16),"_Otsikkorivi",Kestävä_ja_kehittyvä!K16)</f>
        <v>Kestävä ja kehittyvä</v>
      </c>
      <c r="F121" s="1" t="str">
        <f>Kestävä_ja_kehittyvä!L16</f>
        <v>10. Kestävä ja energiatehokas</v>
      </c>
      <c r="G121" s="8" t="str">
        <f>IF(ISBLANK(Kestävä_ja_kehittyvä!R16),"Otsikkorivi",Kestävä_ja_kehittyvä!R16)</f>
        <v>10.1 Vesihuoltolaitoksen energiankulutusta mitataan ja seura-taan vesihuoltolaitoksella osa-alueittain (esim. pumppaukset tai muut merkittävimmät energiankulutuskohteet).</v>
      </c>
      <c r="H121" s="1" t="str">
        <f>IF(ISBLANK(Kestävä_ja_kehittyvä!S16),"",Kestävä_ja_kehittyvä!S16)</f>
        <v/>
      </c>
    </row>
    <row r="122" spans="1:8" ht="29" x14ac:dyDescent="0.35">
      <c r="A122" s="1" t="str">
        <f>Kestävä_ja_kehittyvä!I17</f>
        <v>Ei kuulu</v>
      </c>
      <c r="B122" s="1" t="str">
        <f>Kestävä_ja_kehittyvä!P17</f>
        <v/>
      </c>
      <c r="C122" s="1" t="str">
        <f t="shared" si="2"/>
        <v>Ei</v>
      </c>
      <c r="D122" s="1" t="str">
        <f>IF(Kestävä_ja_kehittyvä!N17="x","Kyllä","Ei")</f>
        <v>Ei</v>
      </c>
      <c r="E122" s="1" t="str">
        <f>IF(ISBLANK(Kestävä_ja_kehittyvä!K17),"_Otsikkorivi",Kestävä_ja_kehittyvä!K17)</f>
        <v>Kestävä ja kehittyvä</v>
      </c>
      <c r="F122" s="1" t="str">
        <f>Kestävä_ja_kehittyvä!L17</f>
        <v>10. Kestävä ja energiatehokas</v>
      </c>
      <c r="G122" s="8" t="str">
        <f>IF(ISBLANK(Kestävä_ja_kehittyvä!R17),"Otsikkorivi",Kestävä_ja_kehittyvä!R17)</f>
        <v>10.2 Vesihuoltolaitos tekee systemaattista riskinarviointia ja riskienhallintaa työturvallisuuden osalta sisältäen mm. kemiallisten ja biologisten vaarojen arvioinnin.</v>
      </c>
      <c r="H122" s="1" t="str">
        <f>IF(ISBLANK(Kestävä_ja_kehittyvä!S17),"",Kestävä_ja_kehittyvä!S17)</f>
        <v/>
      </c>
    </row>
    <row r="123" spans="1:8" ht="29" x14ac:dyDescent="0.35">
      <c r="A123" s="1" t="str">
        <f>Kestävä_ja_kehittyvä!I18</f>
        <v>Ei kuulu</v>
      </c>
      <c r="B123" s="1" t="str">
        <f>Kestävä_ja_kehittyvä!P18</f>
        <v/>
      </c>
      <c r="C123" s="1" t="str">
        <f t="shared" si="2"/>
        <v>Ei</v>
      </c>
      <c r="D123" s="1" t="str">
        <f>IF(Kestävä_ja_kehittyvä!N18="x","Kyllä","Ei")</f>
        <v>Ei</v>
      </c>
      <c r="E123" s="1" t="str">
        <f>IF(ISBLANK(Kestävä_ja_kehittyvä!K18),"_Otsikkorivi",Kestävä_ja_kehittyvä!K18)</f>
        <v>Kestävä ja kehittyvä</v>
      </c>
      <c r="F123" s="1" t="str">
        <f>Kestävä_ja_kehittyvä!L18</f>
        <v>10. Kestävä ja energiatehokas</v>
      </c>
      <c r="G123" s="8" t="str">
        <f>IF(ISBLANK(Kestävä_ja_kehittyvä!R18),"Otsikkorivi",Kestävä_ja_kehittyvä!R18)</f>
        <v xml:space="preserve">10.3 Vesihuoltolaitoksen toiminta-alueen asukkaille on kohdistettu neuvontaa luvattomien viemäriliitosten poistamiseksi (esimerkiksi huleveden ja/tai perustusten kuivatusveden johtaminen jätevesiviemäriin ilman lupaa). </v>
      </c>
      <c r="H123" s="1" t="str">
        <f>IF(ISBLANK(Kestävä_ja_kehittyvä!S18),"",Kestävä_ja_kehittyvä!S18)</f>
        <v/>
      </c>
    </row>
    <row r="124" spans="1:8" x14ac:dyDescent="0.35">
      <c r="A124" s="1" t="str">
        <f>Kestävä_ja_kehittyvä!I19</f>
        <v>Ei kuulu</v>
      </c>
      <c r="B124" s="1" t="str">
        <f>Kestävä_ja_kehittyvä!P19</f>
        <v/>
      </c>
      <c r="C124" s="1" t="str">
        <f t="shared" si="2"/>
        <v>Ei</v>
      </c>
      <c r="D124" s="1" t="str">
        <f>IF(Kestävä_ja_kehittyvä!N19="x","Kyllä","Ei")</f>
        <v>Ei</v>
      </c>
      <c r="E124" s="1" t="str">
        <f>IF(ISBLANK(Kestävä_ja_kehittyvä!K19),"_Otsikkorivi",Kestävä_ja_kehittyvä!K19)</f>
        <v>Kestävä ja kehittyvä</v>
      </c>
      <c r="F124" s="1" t="str">
        <f>Kestävä_ja_kehittyvä!L19</f>
        <v>10. Kestävä ja energiatehokas</v>
      </c>
      <c r="G124" s="8" t="str">
        <f>IF(ISBLANK(Kestävä_ja_kehittyvä!R19),"Otsikkorivi",Kestävä_ja_kehittyvä!R19)</f>
        <v>10.4 Taloudelliset ohjauskeinot luvattomien viemäriliitosten poistamiseksi ovat aidosti käytössä eli korotettuja maksuja peritään tarvittaessa.</v>
      </c>
      <c r="H124" s="1" t="str">
        <f>IF(ISBLANK(Kestävä_ja_kehittyvä!S19),"",Kestävä_ja_kehittyvä!S19)</f>
        <v/>
      </c>
    </row>
    <row r="125" spans="1:8" x14ac:dyDescent="0.35">
      <c r="A125" s="1" t="str">
        <f>Kestävä_ja_kehittyvä!I20</f>
        <v>Ei kuulu</v>
      </c>
      <c r="B125" s="1" t="str">
        <f>Kestävä_ja_kehittyvä!P20</f>
        <v/>
      </c>
      <c r="C125" s="1" t="str">
        <f t="shared" si="2"/>
        <v>Ei</v>
      </c>
      <c r="D125" s="1" t="str">
        <f>IF(Kestävä_ja_kehittyvä!N20="x","Kyllä","Ei")</f>
        <v>Ei</v>
      </c>
      <c r="E125" s="1" t="str">
        <f>IF(ISBLANK(Kestävä_ja_kehittyvä!K20),"_Otsikkorivi",Kestävä_ja_kehittyvä!K20)</f>
        <v>Kestävä ja kehittyvä</v>
      </c>
      <c r="F125" s="1" t="str">
        <f>Kestävä_ja_kehittyvä!L20</f>
        <v>10. Kestävä ja energiatehokas</v>
      </c>
      <c r="G125" s="8" t="str">
        <f>IF(ISBLANK(Kestävä_ja_kehittyvä!R20),"Otsikkorivi",Kestävä_ja_kehittyvä!R20)</f>
        <v>10.5 Vesihuoltolaitos laatii ja julkaisee ympäristötilinpäätöksen vuosittain.</v>
      </c>
      <c r="H125" s="1" t="str">
        <f>IF(ISBLANK(Kestävä_ja_kehittyvä!S20),"",Kestävä_ja_kehittyvä!S20)</f>
        <v/>
      </c>
    </row>
    <row r="126" spans="1:8" x14ac:dyDescent="0.35">
      <c r="A126" s="1" t="str">
        <f>Kestävä_ja_kehittyvä!I21</f>
        <v>Ei kuulu</v>
      </c>
      <c r="B126" s="1" t="str">
        <f>Kestävä_ja_kehittyvä!P21</f>
        <v/>
      </c>
      <c r="C126" s="1" t="str">
        <f t="shared" si="2"/>
        <v>Ei</v>
      </c>
      <c r="D126" s="1" t="str">
        <f>IF(Kestävä_ja_kehittyvä!N21="x","Kyllä","Ei")</f>
        <v>Ei</v>
      </c>
      <c r="E126" s="1" t="str">
        <f>IF(ISBLANK(Kestävä_ja_kehittyvä!K21),"_Otsikkorivi",Kestävä_ja_kehittyvä!K21)</f>
        <v>Kestävä ja kehittyvä</v>
      </c>
      <c r="F126" s="1" t="str">
        <f>Kestävä_ja_kehittyvä!L21</f>
        <v>10. Kestävä ja energiatehokas</v>
      </c>
      <c r="G126" s="8" t="str">
        <f>IF(ISBLANK(Kestävä_ja_kehittyvä!R21),"Otsikkorivi",Kestävä_ja_kehittyvä!R21)</f>
        <v>10.6 Vesihuoltolaitoksen hiilijalanjälki on laskettu ja tuloksia käytetään toiminnan ohjauksessa.</v>
      </c>
      <c r="H126" s="1" t="str">
        <f>IF(ISBLANK(Kestävä_ja_kehittyvä!S21),"",Kestävä_ja_kehittyvä!S21)</f>
        <v/>
      </c>
    </row>
    <row r="127" spans="1:8" x14ac:dyDescent="0.35">
      <c r="A127" s="1" t="str">
        <f>Kestävä_ja_kehittyvä!I22</f>
        <v>Ei kuulu</v>
      </c>
      <c r="B127" s="1" t="str">
        <f>Kestävä_ja_kehittyvä!P22</f>
        <v/>
      </c>
      <c r="C127" s="1" t="str">
        <f t="shared" si="2"/>
        <v>Ei</v>
      </c>
      <c r="D127" s="1" t="str">
        <f>IF(Kestävä_ja_kehittyvä!N22="x","Kyllä","Ei")</f>
        <v>Ei</v>
      </c>
      <c r="E127" s="1" t="str">
        <f>IF(ISBLANK(Kestävä_ja_kehittyvä!K22),"_Otsikkorivi",Kestävä_ja_kehittyvä!K22)</f>
        <v>Kestävä ja kehittyvä</v>
      </c>
      <c r="F127" s="1" t="str">
        <f>Kestävä_ja_kehittyvä!L22</f>
        <v>10. Kestävä ja energiatehokas</v>
      </c>
      <c r="G127" s="8" t="str">
        <f>IF(ISBLANK(Kestävä_ja_kehittyvä!R22),"Otsikkorivi",Kestävä_ja_kehittyvä!R22)</f>
        <v>10.7 Vesihuoltolaitoksen energiankulutus on analysoitu, toimenpideohjelma energiatehokkuuden parantamiseksi laadittu ja sitä toteutetaan.</v>
      </c>
      <c r="H127" s="1" t="str">
        <f>IF(ISBLANK(Kestävä_ja_kehittyvä!S22),"",Kestävä_ja_kehittyvä!S22)</f>
        <v/>
      </c>
    </row>
    <row r="128" spans="1:8" x14ac:dyDescent="0.35">
      <c r="A128" s="1" t="str">
        <f>Kestävä_ja_kehittyvä!I23</f>
        <v>Ei kuulu</v>
      </c>
      <c r="B128" s="1" t="str">
        <f>Kestävä_ja_kehittyvä!P23</f>
        <v/>
      </c>
      <c r="C128" s="1" t="str">
        <f t="shared" si="2"/>
        <v>Ei</v>
      </c>
      <c r="D128" s="1" t="str">
        <f>IF(Kestävä_ja_kehittyvä!N23="x","Kyllä","Ei")</f>
        <v>Ei</v>
      </c>
      <c r="E128" s="1" t="str">
        <f>IF(ISBLANK(Kestävä_ja_kehittyvä!K23),"_Otsikkorivi",Kestävä_ja_kehittyvä!K23)</f>
        <v>Kestävä ja kehittyvä</v>
      </c>
      <c r="F128" s="1" t="str">
        <f>Kestävä_ja_kehittyvä!L23</f>
        <v>10. Kestävä ja energiatehokas</v>
      </c>
      <c r="G128" s="8" t="str">
        <f>IF(ISBLANK(Kestävä_ja_kehittyvä!R23),"Otsikkorivi",Kestävä_ja_kehittyvä!R23)</f>
        <v xml:space="preserve">10.8 Jätevedenpuhdistamolla hyödynnetään hukkalämpöä. </v>
      </c>
      <c r="H128" s="1" t="str">
        <f>IF(ISBLANK(Kestävä_ja_kehittyvä!S23),"",Kestävä_ja_kehittyvä!S23)</f>
        <v/>
      </c>
    </row>
    <row r="129" spans="1:8" x14ac:dyDescent="0.35">
      <c r="A129" s="1" t="str">
        <f>Kestävä_ja_kehittyvä!I24</f>
        <v>Ei kuulu</v>
      </c>
      <c r="B129" s="1" t="str">
        <f>Kestävä_ja_kehittyvä!P24</f>
        <v/>
      </c>
      <c r="C129" s="1" t="str">
        <f t="shared" si="2"/>
        <v>Ei</v>
      </c>
      <c r="D129" s="1" t="str">
        <f>IF(Kestävä_ja_kehittyvä!N24="x","Kyllä","Ei")</f>
        <v>Ei</v>
      </c>
      <c r="E129" s="1" t="str">
        <f>IF(ISBLANK(Kestävä_ja_kehittyvä!K24),"_Otsikkorivi",Kestävä_ja_kehittyvä!K24)</f>
        <v>Kestävä ja kehittyvä</v>
      </c>
      <c r="F129" s="1" t="str">
        <f>Kestävä_ja_kehittyvä!L24</f>
        <v>10. Kestävä ja energiatehokas</v>
      </c>
      <c r="G129" s="8" t="str">
        <f>IF(ISBLANK(Kestävä_ja_kehittyvä!R24),"Otsikkorivi",Kestävä_ja_kehittyvä!R24)</f>
        <v>10.9 Vesilaitoksen toiminnassa on järjestelmällisesti otettu huomioon ympäristö-, talous- ja sosiaalinen vastuu.</v>
      </c>
      <c r="H129" s="1" t="str">
        <f>IF(ISBLANK(Kestävä_ja_kehittyvä!S24),"",Kestävä_ja_kehittyvä!S24)</f>
        <v/>
      </c>
    </row>
    <row r="130" spans="1:8" x14ac:dyDescent="0.35">
      <c r="A130" s="1" t="str">
        <f>Kestävä_ja_kehittyvä!I25</f>
        <v>Ei kuulu</v>
      </c>
      <c r="B130" s="1" t="str">
        <f>Kestävä_ja_kehittyvä!P25</f>
        <v/>
      </c>
      <c r="C130" s="1" t="str">
        <f t="shared" si="2"/>
        <v>Ei</v>
      </c>
      <c r="D130" s="1" t="str">
        <f>IF(Kestävä_ja_kehittyvä!N25="x","Kyllä","Ei")</f>
        <v>Ei</v>
      </c>
      <c r="E130" s="1" t="str">
        <f>IF(ISBLANK(Kestävä_ja_kehittyvä!K25),"_Otsikkorivi",Kestävä_ja_kehittyvä!K25)</f>
        <v>Kestävä ja kehittyvä</v>
      </c>
      <c r="F130" s="1" t="str">
        <f>Kestävä_ja_kehittyvä!L25</f>
        <v>10. Kestävä ja energiatehokas</v>
      </c>
      <c r="G130" s="8" t="str">
        <f>IF(ISBLANK(Kestävä_ja_kehittyvä!R25),"Otsikkorivi",Kestävä_ja_kehittyvä!R25)</f>
        <v>10.10 Vesihuoltolaitoksen energiantuottopotentiaali on kartoitettu ja laitoksella on tavoitearvo energiaomavaraisuudelle.</v>
      </c>
      <c r="H130" s="1" t="str">
        <f>IF(ISBLANK(Kestävä_ja_kehittyvä!S25),"",Kestävä_ja_kehittyvä!S25)</f>
        <v/>
      </c>
    </row>
    <row r="131" spans="1:8" x14ac:dyDescent="0.35">
      <c r="A131" s="1" t="str">
        <f>Kestävä_ja_kehittyvä!I26</f>
        <v>Ei kuulu</v>
      </c>
      <c r="B131" s="1" t="str">
        <f>Kestävä_ja_kehittyvä!P26</f>
        <v/>
      </c>
      <c r="C131" s="1" t="str">
        <f t="shared" si="2"/>
        <v>Ei</v>
      </c>
      <c r="D131" s="1" t="str">
        <f>IF(Kestävä_ja_kehittyvä!N26="x","Kyllä","Ei")</f>
        <v>Ei</v>
      </c>
      <c r="E131" s="1" t="str">
        <f>IF(ISBLANK(Kestävä_ja_kehittyvä!K26),"_Otsikkorivi",Kestävä_ja_kehittyvä!K26)</f>
        <v>Kestävä ja kehittyvä</v>
      </c>
      <c r="F131" s="1" t="str">
        <f>Kestävä_ja_kehittyvä!L26</f>
        <v>10. Kestävä ja energiatehokas</v>
      </c>
      <c r="G131" s="8" t="str">
        <f>IF(ISBLANK(Kestävä_ja_kehittyvä!R26),"Otsikkorivi",Kestävä_ja_kehittyvä!R26)</f>
        <v xml:space="preserve">10.12 Hiilineutraalisuudelle on asetettu tavoite ja toimenpidesuunnitelma sen saavuttamiseksi </v>
      </c>
      <c r="H131" s="1" t="str">
        <f>IF(ISBLANK(Kestävä_ja_kehittyvä!S26),"",Kestävä_ja_kehittyvä!S26)</f>
        <v/>
      </c>
    </row>
    <row r="132" spans="1:8" x14ac:dyDescent="0.35">
      <c r="A132" s="1" t="str">
        <f>Kestävä_ja_kehittyvä!I27</f>
        <v>Ei kuulu</v>
      </c>
      <c r="B132" s="1" t="str">
        <f>Kestävä_ja_kehittyvä!P27</f>
        <v/>
      </c>
      <c r="C132" s="1" t="str">
        <f t="shared" si="2"/>
        <v>Ei</v>
      </c>
      <c r="D132" s="1" t="str">
        <f>IF(Kestävä_ja_kehittyvä!N27="x","Kyllä","Ei")</f>
        <v>Ei</v>
      </c>
      <c r="E132" s="1" t="str">
        <f>IF(ISBLANK(Kestävä_ja_kehittyvä!K27),"_Otsikkorivi",Kestävä_ja_kehittyvä!K27)</f>
        <v>Kestävä ja kehittyvä</v>
      </c>
      <c r="F132" s="1" t="str">
        <f>Kestävä_ja_kehittyvä!L27</f>
        <v>_Otsikkorivi</v>
      </c>
      <c r="G132" s="8" t="str">
        <f>IF(ISBLANK(Kestävä_ja_kehittyvä!R27),"Otsikkorivi",Kestävä_ja_kehittyvä!R27)</f>
        <v>11. Asiakaspalvelu ja viestintä on suunniteltua ja läpinäkyvää</v>
      </c>
      <c r="H132" s="1" t="str">
        <f>IF(ISBLANK(Kestävä_ja_kehittyvä!S27),"",Kestävä_ja_kehittyvä!S27)</f>
        <v/>
      </c>
    </row>
    <row r="133" spans="1:8" x14ac:dyDescent="0.35">
      <c r="A133" s="1" t="str">
        <f>Kestävä_ja_kehittyvä!I28</f>
        <v>Ei kuulu</v>
      </c>
      <c r="B133" s="1" t="str">
        <f>Kestävä_ja_kehittyvä!P28</f>
        <v/>
      </c>
      <c r="C133" s="1" t="str">
        <f t="shared" si="2"/>
        <v>Ei</v>
      </c>
      <c r="D133" s="1" t="str">
        <f>IF(Kestävä_ja_kehittyvä!N28="x","Kyllä","Ei")</f>
        <v>Ei</v>
      </c>
      <c r="E133" s="1" t="str">
        <f>IF(ISBLANK(Kestävä_ja_kehittyvä!K28),"_Otsikkorivi",Kestävä_ja_kehittyvä!K28)</f>
        <v>Kestävä ja kehittyvä</v>
      </c>
      <c r="F133" s="1" t="str">
        <f>Kestävä_ja_kehittyvä!L28</f>
        <v>11. Asiakaspalvelu ja viestintä on suunniteltua ja läpinäkyvää</v>
      </c>
      <c r="G133" s="8" t="str">
        <f>IF(ISBLANK(Kestävä_ja_kehittyvä!R28),"Otsikkorivi",Kestävä_ja_kehittyvä!R28)</f>
        <v>11.1 Säännöllinen asiakasviestintä esim. www-sivuilla, laskun/mittarilukemakortin yhteydessä tai asiakaslehdellä</v>
      </c>
      <c r="H133" s="1" t="str">
        <f>IF(ISBLANK(Kestävä_ja_kehittyvä!S28),"",Kestävä_ja_kehittyvä!S28)</f>
        <v/>
      </c>
    </row>
    <row r="134" spans="1:8" x14ac:dyDescent="0.35">
      <c r="A134" s="1" t="str">
        <f>Kestävä_ja_kehittyvä!I29</f>
        <v>Ei kuulu</v>
      </c>
      <c r="B134" s="1" t="str">
        <f>Kestävä_ja_kehittyvä!P29</f>
        <v/>
      </c>
      <c r="C134" s="1" t="str">
        <f t="shared" si="2"/>
        <v>Ei</v>
      </c>
      <c r="D134" s="1" t="str">
        <f>IF(Kestävä_ja_kehittyvä!N29="x","Kyllä","Ei")</f>
        <v>Ei</v>
      </c>
      <c r="E134" s="1" t="str">
        <f>IF(ISBLANK(Kestävä_ja_kehittyvä!K29),"_Otsikkorivi",Kestävä_ja_kehittyvä!K29)</f>
        <v>Kestävä ja kehittyvä</v>
      </c>
      <c r="F134" s="1" t="str">
        <f>Kestävä_ja_kehittyvä!L29</f>
        <v>11. Asiakaspalvelu ja viestintä on suunniteltua ja läpinäkyvää</v>
      </c>
      <c r="G134" s="8" t="str">
        <f>IF(ISBLANK(Kestävä_ja_kehittyvä!R29),"Otsikkorivi",Kestävä_ja_kehittyvä!R29)</f>
        <v>11.2 Toimintakertomus ja tilinpäätös julkaistaan vuosittain</v>
      </c>
      <c r="H134" s="1" t="str">
        <f>IF(ISBLANK(Kestävä_ja_kehittyvä!S29),"",Kestävä_ja_kehittyvä!S29)</f>
        <v/>
      </c>
    </row>
    <row r="135" spans="1:8" x14ac:dyDescent="0.35">
      <c r="A135" s="1" t="str">
        <f>Kestävä_ja_kehittyvä!I30</f>
        <v>Ei kuulu</v>
      </c>
      <c r="B135" s="1" t="str">
        <f>Kestävä_ja_kehittyvä!P30</f>
        <v/>
      </c>
      <c r="C135" s="1" t="str">
        <f t="shared" si="2"/>
        <v>Ei</v>
      </c>
      <c r="D135" s="1" t="str">
        <f>IF(Kestävä_ja_kehittyvä!N30="x","Kyllä","Ei")</f>
        <v>Ei</v>
      </c>
      <c r="E135" s="1" t="str">
        <f>IF(ISBLANK(Kestävä_ja_kehittyvä!K30),"_Otsikkorivi",Kestävä_ja_kehittyvä!K30)</f>
        <v>Kestävä ja kehittyvä</v>
      </c>
      <c r="F135" s="1" t="str">
        <f>Kestävä_ja_kehittyvä!L30</f>
        <v>11. Asiakaspalvelu ja viestintä on suunniteltua ja läpinäkyvää</v>
      </c>
      <c r="G135" s="8" t="str">
        <f>IF(ISBLANK(Kestävä_ja_kehittyvä!R30),"Otsikkorivi",Kestävä_ja_kehittyvä!R30)</f>
        <v>11.3 Asiakaspalaute kirjataan ylös</v>
      </c>
      <c r="H135" s="1" t="str">
        <f>IF(ISBLANK(Kestävä_ja_kehittyvä!S30),"",Kestävä_ja_kehittyvä!S30)</f>
        <v/>
      </c>
    </row>
    <row r="136" spans="1:8" x14ac:dyDescent="0.35">
      <c r="A136" s="1" t="str">
        <f>Kestävä_ja_kehittyvä!I31</f>
        <v>Ei kuulu</v>
      </c>
      <c r="B136" s="1" t="str">
        <f>Kestävä_ja_kehittyvä!P31</f>
        <v/>
      </c>
      <c r="C136" s="1" t="str">
        <f t="shared" si="2"/>
        <v>Ei</v>
      </c>
      <c r="D136" s="1" t="str">
        <f>IF(Kestävä_ja_kehittyvä!N31="x","Kyllä","Ei")</f>
        <v>Ei</v>
      </c>
      <c r="E136" s="1" t="str">
        <f>IF(ISBLANK(Kestävä_ja_kehittyvä!K31),"_Otsikkorivi",Kestävä_ja_kehittyvä!K31)</f>
        <v>Kestävä ja kehittyvä</v>
      </c>
      <c r="F136" s="1" t="str">
        <f>Kestävä_ja_kehittyvä!L31</f>
        <v>11. Asiakaspalvelu ja viestintä on suunniteltua ja läpinäkyvää</v>
      </c>
      <c r="G136" s="8" t="str">
        <f>IF(ISBLANK(Kestävä_ja_kehittyvä!R31),"Otsikkorivi",Kestävä_ja_kehittyvä!R31)</f>
        <v>11.4 Asiakastietojärjestelmä mahdollistaa sähköiset asiakaspalvelut</v>
      </c>
      <c r="H136" s="1" t="str">
        <f>IF(ISBLANK(Kestävä_ja_kehittyvä!S31),"",Kestävä_ja_kehittyvä!S31)</f>
        <v/>
      </c>
    </row>
    <row r="137" spans="1:8" ht="43.5" x14ac:dyDescent="0.35">
      <c r="A137" s="1" t="str">
        <f>Kestävä_ja_kehittyvä!I32</f>
        <v>Ei kuulu</v>
      </c>
      <c r="B137" s="1" t="str">
        <f>Kestävä_ja_kehittyvä!P32</f>
        <v/>
      </c>
      <c r="C137" s="1" t="str">
        <f t="shared" si="2"/>
        <v>Ei</v>
      </c>
      <c r="D137" s="1" t="str">
        <f>IF(Kestävä_ja_kehittyvä!N32="x","Kyllä","Ei")</f>
        <v>Ei</v>
      </c>
      <c r="E137" s="1" t="str">
        <f>IF(ISBLANK(Kestävä_ja_kehittyvä!K32),"_Otsikkorivi",Kestävä_ja_kehittyvä!K32)</f>
        <v>Kestävä ja kehittyvä</v>
      </c>
      <c r="F137" s="1" t="str">
        <f>Kestävä_ja_kehittyvä!L32</f>
        <v>11. Asiakaspalvelu ja viestintä on suunniteltua ja läpinäkyvää</v>
      </c>
      <c r="G137" s="8" t="str">
        <f>IF(ISBLANK(Kestävä_ja_kehittyvä!R32),"Otsikkorivi",Kestävä_ja_kehittyvä!R32)</f>
        <v>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v>
      </c>
      <c r="H137" s="1" t="str">
        <f>IF(ISBLANK(Kestävä_ja_kehittyvä!S32),"",Kestävä_ja_kehittyvä!S32)</f>
        <v/>
      </c>
    </row>
    <row r="138" spans="1:8" x14ac:dyDescent="0.35">
      <c r="A138" s="1" t="str">
        <f>Kestävä_ja_kehittyvä!I33</f>
        <v>Ei kuulu</v>
      </c>
      <c r="B138" s="1" t="str">
        <f>Kestävä_ja_kehittyvä!P33</f>
        <v/>
      </c>
      <c r="C138" s="1" t="str">
        <f t="shared" si="2"/>
        <v>Ei</v>
      </c>
      <c r="D138" s="1" t="str">
        <f>IF(Kestävä_ja_kehittyvä!N33="x","Kyllä","Ei")</f>
        <v>Ei</v>
      </c>
      <c r="E138" s="1" t="str">
        <f>IF(ISBLANK(Kestävä_ja_kehittyvä!K33),"_Otsikkorivi",Kestävä_ja_kehittyvä!K33)</f>
        <v>Kestävä ja kehittyvä</v>
      </c>
      <c r="F138" s="1" t="str">
        <f>Kestävä_ja_kehittyvä!L33</f>
        <v>11. Asiakaspalvelu ja viestintä on suunniteltua ja läpinäkyvää</v>
      </c>
      <c r="G138" s="8" t="str">
        <f>IF(ISBLANK(Kestävä_ja_kehittyvä!R33),"Otsikkorivi",Kestävä_ja_kehittyvä!R33)</f>
        <v>11.6 Laitos tekee asiakastyytyväisyyskyselyn 2-4 vuoden välein.</v>
      </c>
      <c r="H138" s="1" t="str">
        <f>IF(ISBLANK(Kestävä_ja_kehittyvä!S33),"",Kestävä_ja_kehittyvä!S33)</f>
        <v/>
      </c>
    </row>
    <row r="139" spans="1:8" x14ac:dyDescent="0.35">
      <c r="A139" s="1" t="str">
        <f>Kestävä_ja_kehittyvä!I34</f>
        <v>Ei kuulu</v>
      </c>
      <c r="B139" s="1" t="str">
        <f>Kestävä_ja_kehittyvä!P34</f>
        <v/>
      </c>
      <c r="C139" s="1" t="str">
        <f t="shared" si="2"/>
        <v>Ei</v>
      </c>
      <c r="D139" s="1" t="str">
        <f>IF(Kestävä_ja_kehittyvä!N34="x","Kyllä","Ei")</f>
        <v>Ei</v>
      </c>
      <c r="E139" s="1" t="str">
        <f>IF(ISBLANK(Kestävä_ja_kehittyvä!K34),"_Otsikkorivi",Kestävä_ja_kehittyvä!K34)</f>
        <v>Kestävä ja kehittyvä</v>
      </c>
      <c r="F139" s="1" t="str">
        <f>Kestävä_ja_kehittyvä!L34</f>
        <v>11. Asiakaspalvelu ja viestintä on suunniteltua ja läpinäkyvää</v>
      </c>
      <c r="G139" s="8" t="str">
        <f>IF(ISBLANK(Kestävä_ja_kehittyvä!R34),"Otsikkorivi",Kestävä_ja_kehittyvä!R34)</f>
        <v>11.6 Laitos tekee asiakastyytyväisyyskyselyn 1-2 vuoden välein</v>
      </c>
      <c r="H139" s="1" t="str">
        <f>IF(ISBLANK(Kestävä_ja_kehittyvä!S34),"",Kestävä_ja_kehittyvä!S34)</f>
        <v/>
      </c>
    </row>
    <row r="140" spans="1:8" x14ac:dyDescent="0.35">
      <c r="A140" s="1" t="str">
        <f>Kestävä_ja_kehittyvä!I35</f>
        <v>Ei kuulu</v>
      </c>
      <c r="B140" s="1" t="str">
        <f>Kestävä_ja_kehittyvä!P35</f>
        <v/>
      </c>
      <c r="C140" s="1" t="str">
        <f t="shared" si="2"/>
        <v>Ei</v>
      </c>
      <c r="D140" s="1" t="str">
        <f>IF(Kestävä_ja_kehittyvä!N35="x","Kyllä","Ei")</f>
        <v>Ei</v>
      </c>
      <c r="E140" s="1" t="str">
        <f>IF(ISBLANK(Kestävä_ja_kehittyvä!K35),"_Otsikkorivi",Kestävä_ja_kehittyvä!K35)</f>
        <v>Kestävä ja kehittyvä</v>
      </c>
      <c r="F140" s="1" t="str">
        <f>Kestävä_ja_kehittyvä!L35</f>
        <v>11. Asiakaspalvelu ja viestintä on suunniteltua ja läpinäkyvää</v>
      </c>
      <c r="G140" s="8" t="str">
        <f>IF(ISBLANK(Kestävä_ja_kehittyvä!R35),"Otsikkorivi",Kestävä_ja_kehittyvä!R35)</f>
        <v>11.6 Laitos tekee asiakastyytyväisyyskyselyn vuosittain.</v>
      </c>
      <c r="H140" s="1" t="str">
        <f>IF(ISBLANK(Kestävä_ja_kehittyvä!S35),"",Kestävä_ja_kehittyvä!S35)</f>
        <v/>
      </c>
    </row>
    <row r="141" spans="1:8" x14ac:dyDescent="0.35">
      <c r="A141" s="1" t="str">
        <f>Kestävä_ja_kehittyvä!I36</f>
        <v>Ei kuulu</v>
      </c>
      <c r="B141" s="1" t="str">
        <f>Kestävä_ja_kehittyvä!P36</f>
        <v/>
      </c>
      <c r="C141" s="1" t="str">
        <f t="shared" si="2"/>
        <v>Ei</v>
      </c>
      <c r="D141" s="1" t="str">
        <f>IF(Kestävä_ja_kehittyvä!N36="x","Kyllä","Ei")</f>
        <v>Ei</v>
      </c>
      <c r="E141" s="1" t="str">
        <f>IF(ISBLANK(Kestävä_ja_kehittyvä!K36),"_Otsikkorivi",Kestävä_ja_kehittyvä!K36)</f>
        <v>Kestävä ja kehittyvä</v>
      </c>
      <c r="F141" s="1" t="str">
        <f>Kestävä_ja_kehittyvä!L36</f>
        <v>11. Asiakaspalvelu ja viestintä on suunniteltua ja läpinäkyvää</v>
      </c>
      <c r="G141" s="8" t="str">
        <f>IF(ISBLANK(Kestävä_ja_kehittyvä!R36),"Otsikkorivi",Kestävä_ja_kehittyvä!R36)</f>
        <v>11.7 Asiakasvalituksiin vastaamiseen on asetettu tavoiteaika.</v>
      </c>
      <c r="H141" s="1" t="str">
        <f>IF(ISBLANK(Kestävä_ja_kehittyvä!S36),"",Kestävä_ja_kehittyvä!S36)</f>
        <v/>
      </c>
    </row>
    <row r="142" spans="1:8" x14ac:dyDescent="0.35">
      <c r="A142" s="1" t="str">
        <f>Kestävä_ja_kehittyvä!I37</f>
        <v>Ei kuulu</v>
      </c>
      <c r="B142" s="1" t="str">
        <f>Kestävä_ja_kehittyvä!P37</f>
        <v/>
      </c>
      <c r="C142" s="1" t="str">
        <f t="shared" ref="C142:C148" si="3">IF(AND(A142="Kuuluu",H142="Ei",B142&lt;&gt;"Extra"),"Kyllä","Ei")</f>
        <v>Ei</v>
      </c>
      <c r="D142" s="1" t="str">
        <f>IF(Kestävä_ja_kehittyvä!N37="x","Kyllä","Ei")</f>
        <v>Ei</v>
      </c>
      <c r="E142" s="1" t="str">
        <f>IF(ISBLANK(Kestävä_ja_kehittyvä!K37),"_Otsikkorivi",Kestävä_ja_kehittyvä!K37)</f>
        <v>Kestävä ja kehittyvä</v>
      </c>
      <c r="F142" s="1" t="str">
        <f>Kestävä_ja_kehittyvä!L37</f>
        <v>11. Asiakaspalvelu ja viestintä on suunniteltua ja läpinäkyvää</v>
      </c>
      <c r="G142" s="8" t="str">
        <f>IF(ISBLANK(Kestävä_ja_kehittyvä!R37),"Otsikkorivi",Kestävä_ja_kehittyvä!R37)</f>
        <v>11.8 Käytössä liittyjäkohtainen kuluttajaviestintä (esim. tekstiviesti-ilmoitus)</v>
      </c>
      <c r="H142" s="1" t="str">
        <f>IF(ISBLANK(Kestävä_ja_kehittyvä!S37),"",Kestävä_ja_kehittyvä!S37)</f>
        <v/>
      </c>
    </row>
    <row r="143" spans="1:8" x14ac:dyDescent="0.35">
      <c r="A143" s="1" t="str">
        <f>Kestävä_ja_kehittyvä!I38</f>
        <v>Ei kuulu</v>
      </c>
      <c r="B143" s="1" t="str">
        <f>Kestävä_ja_kehittyvä!P38</f>
        <v/>
      </c>
      <c r="C143" s="1" t="str">
        <f t="shared" si="3"/>
        <v>Ei</v>
      </c>
      <c r="D143" s="1" t="str">
        <f>IF(Kestävä_ja_kehittyvä!N38="x","Kyllä","Ei")</f>
        <v>Ei</v>
      </c>
      <c r="E143" s="1" t="str">
        <f>IF(ISBLANK(Kestävä_ja_kehittyvä!K38),"_Otsikkorivi",Kestävä_ja_kehittyvä!K38)</f>
        <v>Kestävä ja kehittyvä</v>
      </c>
      <c r="F143" s="1" t="str">
        <f>Kestävä_ja_kehittyvä!L38</f>
        <v>11. Asiakaspalvelu ja viestintä on suunniteltua ja läpinäkyvää</v>
      </c>
      <c r="G143" s="8" t="str">
        <f>IF(ISBLANK(Kestävä_ja_kehittyvä!R38),"Otsikkorivi",Kestävä_ja_kehittyvä!R38)</f>
        <v>11.9 Sijaintitiedon kannalta oleelliset asiakasvalitukset hallinnoidaan paikkatietona. (esim. johtotietojärjestelmä, kunnossapitojärjestelmä)</v>
      </c>
      <c r="H143" s="1" t="str">
        <f>IF(ISBLANK(Kestävä_ja_kehittyvä!S38),"",Kestävä_ja_kehittyvä!S38)</f>
        <v/>
      </c>
    </row>
    <row r="144" spans="1:8" x14ac:dyDescent="0.35">
      <c r="A144" s="1" t="str">
        <f>Kestävä_ja_kehittyvä!I39</f>
        <v>Ei kuulu</v>
      </c>
      <c r="B144" s="1" t="str">
        <f>Kestävä_ja_kehittyvä!P39</f>
        <v/>
      </c>
      <c r="C144" s="1" t="str">
        <f t="shared" si="3"/>
        <v>Ei</v>
      </c>
      <c r="D144" s="1" t="str">
        <f>IF(Kestävä_ja_kehittyvä!N39="x","Kyllä","Ei")</f>
        <v>Ei</v>
      </c>
      <c r="E144" s="1" t="str">
        <f>IF(ISBLANK(Kestävä_ja_kehittyvä!K39),"_Otsikkorivi",Kestävä_ja_kehittyvä!K39)</f>
        <v>Kestävä ja kehittyvä</v>
      </c>
      <c r="F144" s="1" t="str">
        <f>Kestävä_ja_kehittyvä!L39</f>
        <v>11. Asiakaspalvelu ja viestintä on suunniteltua ja läpinäkyvää</v>
      </c>
      <c r="G144" s="8" t="str">
        <f>IF(ISBLANK(Kestävä_ja_kehittyvä!R39),"Otsikkorivi",Kestävä_ja_kehittyvä!R39)</f>
        <v>11.10 Asiakastyytyväisyyden tulos tasolla vähintään hyvä.</v>
      </c>
      <c r="H144" s="1" t="str">
        <f>IF(ISBLANK(Kestävä_ja_kehittyvä!S39),"",Kestävä_ja_kehittyvä!S39)</f>
        <v/>
      </c>
    </row>
    <row r="145" spans="1:8" ht="29" x14ac:dyDescent="0.35">
      <c r="A145" s="1" t="str">
        <f>Kestävä_ja_kehittyvä!I40</f>
        <v>Ei kuulu</v>
      </c>
      <c r="B145" s="1" t="str">
        <f>Kestävä_ja_kehittyvä!P40</f>
        <v/>
      </c>
      <c r="C145" s="1" t="str">
        <f t="shared" si="3"/>
        <v>Ei</v>
      </c>
      <c r="D145" s="1" t="str">
        <f>IF(Kestävä_ja_kehittyvä!N40="x","Kyllä","Ei")</f>
        <v>Ei</v>
      </c>
      <c r="E145" s="1" t="str">
        <f>IF(ISBLANK(Kestävä_ja_kehittyvä!K40),"_Otsikkorivi",Kestävä_ja_kehittyvä!K40)</f>
        <v>Kestävä ja kehittyvä</v>
      </c>
      <c r="F145" s="1" t="str">
        <f>Kestävä_ja_kehittyvä!L40</f>
        <v>11. Asiakaspalvelu ja viestintä on suunniteltua ja läpinäkyvää</v>
      </c>
      <c r="G145" s="8" t="str">
        <f>IF(ISBLANK(Kestävä_ja_kehittyvä!R40),"Otsikkorivi",Kestävä_ja_kehittyvä!R40)</f>
        <v>11.11 Asiakaspalvelua kehitetään asiakastyytyväisyyskyselyjen lisäksi yhteistyössä asiakkaiden kanssa. (esim. säännöllinen asiakasfoorumi, isännöitsijätapaamiset)</v>
      </c>
      <c r="H145" s="1" t="str">
        <f>IF(ISBLANK(Kestävä_ja_kehittyvä!S40),"",Kestävä_ja_kehittyvä!S40)</f>
        <v/>
      </c>
    </row>
    <row r="146" spans="1:8" x14ac:dyDescent="0.35">
      <c r="A146" s="1" t="str">
        <f>Kestävä_ja_kehittyvä!I41</f>
        <v>Ei kuulu</v>
      </c>
      <c r="B146" s="1" t="str">
        <f>Kestävä_ja_kehittyvä!P41</f>
        <v/>
      </c>
      <c r="C146" s="1" t="str">
        <f t="shared" si="3"/>
        <v>Ei</v>
      </c>
      <c r="D146" s="1" t="str">
        <f>IF(Kestävä_ja_kehittyvä!N41="x","Kyllä","Ei")</f>
        <v>Ei</v>
      </c>
      <c r="E146" s="1" t="str">
        <f>IF(ISBLANK(Kestävä_ja_kehittyvä!K41),"_Otsikkorivi",Kestävä_ja_kehittyvä!K41)</f>
        <v>Kestävä ja kehittyvä</v>
      </c>
      <c r="F146" s="1" t="str">
        <f>Kestävä_ja_kehittyvä!L41</f>
        <v>11. Asiakaspalvelu ja viestintä on suunniteltua ja läpinäkyvää</v>
      </c>
      <c r="G146" s="8" t="str">
        <f>IF(ISBLANK(Kestävä_ja_kehittyvä!R41),"Otsikkorivi",Kestävä_ja_kehittyvä!R41)</f>
        <v>11.12 Asiakaspalvelulle on määritelty palvelutaso normaalitoiminnassa ja häiriötilanteissa.</v>
      </c>
      <c r="H146" s="1" t="str">
        <f>IF(ISBLANK(Kestävä_ja_kehittyvä!S41),"",Kestävä_ja_kehittyvä!S41)</f>
        <v/>
      </c>
    </row>
    <row r="147" spans="1:8" x14ac:dyDescent="0.35">
      <c r="A147" s="1" t="str">
        <f>Kestävä_ja_kehittyvä!I42</f>
        <v>Ei kuulu</v>
      </c>
      <c r="B147" s="1" t="str">
        <f>Kestävä_ja_kehittyvä!P42</f>
        <v/>
      </c>
      <c r="C147" s="1" t="str">
        <f t="shared" si="3"/>
        <v>Ei</v>
      </c>
      <c r="D147" s="1" t="str">
        <f>IF(Kestävä_ja_kehittyvä!N42="x","Kyllä","Ei")</f>
        <v>Ei</v>
      </c>
      <c r="E147" s="1" t="str">
        <f>IF(ISBLANK(Kestävä_ja_kehittyvä!K42),"_Otsikkorivi",Kestävä_ja_kehittyvä!K42)</f>
        <v>Kestävä ja kehittyvä</v>
      </c>
      <c r="F147" s="1" t="str">
        <f>Kestävä_ja_kehittyvä!L42</f>
        <v>11. Asiakaspalvelu ja viestintä on suunniteltua ja läpinäkyvää</v>
      </c>
      <c r="G147" s="8" t="str">
        <f>IF(ISBLANK(Kestävä_ja_kehittyvä!R42),"Otsikkorivi",Kestävä_ja_kehittyvä!R42)</f>
        <v>11.13 Asiakastyytyväisyyden jatkuva seuranta aina asiakaskohtaamisen yhteydessä</v>
      </c>
      <c r="H147" s="1" t="str">
        <f>IF(ISBLANK(Kestävä_ja_kehittyvä!S42),"",Kestävä_ja_kehittyvä!S42)</f>
        <v/>
      </c>
    </row>
    <row r="148" spans="1:8" x14ac:dyDescent="0.35">
      <c r="A148" s="1" t="str">
        <f>Kestävä_ja_kehittyvä!I43</f>
        <v>Ei kuulu</v>
      </c>
      <c r="B148" s="1" t="str">
        <f>Kestävä_ja_kehittyvä!P43</f>
        <v/>
      </c>
      <c r="C148" s="1" t="str">
        <f t="shared" si="3"/>
        <v>Ei</v>
      </c>
      <c r="D148" s="1" t="str">
        <f>IF(Kestävä_ja_kehittyvä!N43="x","Kyllä","Ei")</f>
        <v>Ei</v>
      </c>
      <c r="E148" s="1" t="str">
        <f>IF(ISBLANK(Kestävä_ja_kehittyvä!K43),"_Otsikkorivi",Kestävä_ja_kehittyvä!K43)</f>
        <v>Kestävä ja kehittyvä</v>
      </c>
      <c r="F148" s="1" t="str">
        <f>Kestävä_ja_kehittyvä!L43</f>
        <v>11. Asiakaspalvelu ja viestintä on suunniteltua ja läpinäkyvää</v>
      </c>
      <c r="G148" s="8" t="str">
        <f>IF(ISBLANK(Kestävä_ja_kehittyvä!R43),"Otsikkorivi",Kestävä_ja_kehittyvä!R43)</f>
        <v>11.14 Asiakkaille tarjotaan kohderyhmittäin räätälöityjä lisäpalveluja kulutustietojen, asioinnin yms. suhteen, esim. etäluenta, ladattava äppi tms.</v>
      </c>
      <c r="H148" s="1" t="str">
        <f>IF(ISBLANK(Kestävä_ja_kehittyvä!S43),"",Kestävä_ja_kehittyvä!S43)</f>
        <v/>
      </c>
    </row>
  </sheetData>
  <mergeCells count="1">
    <mergeCell ref="A5:C5"/>
  </mergeCells>
  <dataValidations count="1">
    <dataValidation allowBlank="1" showInputMessage="1" showErrorMessage="1" promptTitle="Huoltovarmuuskriteeri" prompt="Tämä sarake näyttää, onko kyse huoltovarmuuskriteeristä." sqref="D6" xr:uid="{DA57455D-85A0-4FA8-8052-56AD8E1047E3}"/>
  </dataValidations>
  <pageMargins left="0.7" right="0.7" top="0.75" bottom="0.75" header="0.3" footer="0.3"/>
  <pageSetup paperSize="9" orientation="portrait" horizontalDpi="4294967293"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1682-190F-4610-A769-5A79F405C96E}">
  <sheetPr>
    <tabColor rgb="FFF3497E"/>
  </sheetPr>
  <dimension ref="A1:L148"/>
  <sheetViews>
    <sheetView showGridLines="0" topLeftCell="D1" workbookViewId="0">
      <pane ySplit="6" topLeftCell="A7" activePane="bottomLeft" state="frozen"/>
      <selection activeCell="D1" sqref="D1"/>
      <selection pane="bottomLeft" activeCell="H1" sqref="H1"/>
    </sheetView>
  </sheetViews>
  <sheetFormatPr defaultColWidth="8.90625" defaultRowHeight="14.5" x14ac:dyDescent="0.35"/>
  <cols>
    <col min="1" max="2" width="7.90625" style="1" hidden="1" customWidth="1"/>
    <col min="3" max="3" width="8.90625" style="1" hidden="1" customWidth="1"/>
    <col min="4" max="4" width="5.6328125" style="1" customWidth="1"/>
    <col min="5" max="5" width="25.1796875" style="1" customWidth="1"/>
    <col min="6" max="6" width="19.6328125" style="1" customWidth="1"/>
    <col min="7" max="7" width="126.453125" style="8" customWidth="1"/>
    <col min="8" max="8" width="10.08984375" style="1" bestFit="1" customWidth="1"/>
    <col min="9" max="9" width="9.81640625" style="1" customWidth="1"/>
    <col min="10" max="11" width="8.90625" style="1"/>
    <col min="12" max="12" width="3.36328125" style="1" customWidth="1"/>
    <col min="13" max="16384" width="8.90625" style="1"/>
  </cols>
  <sheetData>
    <row r="1" spans="1:12" ht="23.5" x14ac:dyDescent="0.35">
      <c r="A1" s="78"/>
      <c r="B1" s="78"/>
      <c r="C1" s="78"/>
      <c r="D1" s="79" t="s">
        <v>192</v>
      </c>
      <c r="E1" s="78"/>
      <c r="F1" s="78"/>
      <c r="G1" s="80"/>
      <c r="H1" s="78"/>
      <c r="I1" s="136"/>
      <c r="J1" s="136"/>
      <c r="K1" s="136"/>
      <c r="L1" s="136"/>
    </row>
    <row r="2" spans="1:12" x14ac:dyDescent="0.35">
      <c r="A2" s="78"/>
      <c r="B2" s="78"/>
      <c r="C2" s="78"/>
      <c r="D2" s="78" t="s">
        <v>258</v>
      </c>
      <c r="E2" s="78"/>
      <c r="F2" s="78"/>
      <c r="G2" s="80"/>
      <c r="H2" s="78"/>
      <c r="I2" s="136"/>
      <c r="J2" s="136"/>
      <c r="K2" s="136"/>
      <c r="L2" s="136"/>
    </row>
    <row r="3" spans="1:12" x14ac:dyDescent="0.35">
      <c r="A3" s="78"/>
      <c r="B3" s="78"/>
      <c r="C3" s="78"/>
      <c r="D3" s="81" t="s">
        <v>267</v>
      </c>
      <c r="E3" s="78"/>
      <c r="F3" s="78"/>
      <c r="G3" s="80"/>
      <c r="H3" s="78"/>
      <c r="I3" s="136"/>
      <c r="J3" s="136"/>
      <c r="K3" s="136"/>
      <c r="L3" s="136"/>
    </row>
    <row r="4" spans="1:12" x14ac:dyDescent="0.35">
      <c r="A4" s="78"/>
      <c r="B4" s="78"/>
      <c r="C4" s="78"/>
      <c r="D4" s="138" t="s">
        <v>244</v>
      </c>
      <c r="E4" s="78"/>
      <c r="F4" s="78"/>
      <c r="G4" s="80"/>
      <c r="H4" s="78"/>
      <c r="I4" s="136"/>
      <c r="J4" s="136"/>
      <c r="K4" s="136"/>
      <c r="L4" s="136"/>
    </row>
    <row r="5" spans="1:12" x14ac:dyDescent="0.35">
      <c r="A5" s="181" t="s">
        <v>266</v>
      </c>
      <c r="B5" s="181"/>
      <c r="C5" s="181"/>
      <c r="D5" s="78"/>
      <c r="E5" s="78"/>
      <c r="F5" s="78"/>
      <c r="G5" s="80"/>
      <c r="H5" s="78"/>
      <c r="I5" s="136"/>
      <c r="J5" s="136"/>
      <c r="K5" s="136"/>
      <c r="L5" s="136"/>
    </row>
    <row r="6" spans="1:12" x14ac:dyDescent="0.35">
      <c r="A6" s="76" t="s">
        <v>240</v>
      </c>
      <c r="B6" s="76" t="s">
        <v>237</v>
      </c>
      <c r="C6" s="162" t="s">
        <v>243</v>
      </c>
      <c r="D6" s="76" t="s">
        <v>242</v>
      </c>
      <c r="E6" s="76" t="s">
        <v>1</v>
      </c>
      <c r="F6" s="76" t="s">
        <v>229</v>
      </c>
      <c r="G6" s="77" t="s">
        <v>230</v>
      </c>
      <c r="H6" s="76" t="s">
        <v>231</v>
      </c>
      <c r="I6" s="136"/>
      <c r="J6" s="136"/>
      <c r="K6" s="136"/>
      <c r="L6" s="136"/>
    </row>
    <row r="7" spans="1:12" x14ac:dyDescent="0.35">
      <c r="A7" s="1" t="str">
        <f>Turvallinen_ja_toimintavarma!I5</f>
        <v>Ei kuulu</v>
      </c>
      <c r="B7" s="1" t="str">
        <f>Turvallinen_ja_toimintavarma!P5</f>
        <v/>
      </c>
      <c r="C7" s="163" t="str">
        <f>IF(AND(A7="Kuuluu",H7="Ei",B7&lt;&gt;"Extra"),"Kyllä","Ei")</f>
        <v>Ei</v>
      </c>
      <c r="D7" s="1" t="str">
        <f>KorjattavaaTaulukko[[#This Row],[Huoltovarmuuskriteeri]]</f>
        <v>Ei</v>
      </c>
      <c r="E7" s="1" t="str">
        <f>KorjattavaaTaulukko[[#This Row],[Pääkategoria]]</f>
        <v>Turvallinen ja toimintavarma</v>
      </c>
      <c r="F7" s="1" t="str">
        <f>KorjattavaaTaulukko[[#This Row],[Alakategoria]]</f>
        <v>_Otsikkorivi</v>
      </c>
      <c r="G7" s="1" t="str">
        <f>KorjattavaaTaulukko[[#This Row],[Arviointikriteeri]]</f>
        <v>1. Laadukas, raakaveden laadun huomioiva, kriteerit täyttävä vedenkäsittelyprosessi</v>
      </c>
      <c r="H7" s="1" t="str">
        <f>KorjattavaaTaulukko[[#This Row],[Vastaus ]]</f>
        <v/>
      </c>
    </row>
    <row r="8" spans="1:12" x14ac:dyDescent="0.35">
      <c r="A8" s="1" t="str">
        <f>Turvallinen_ja_toimintavarma!I6</f>
        <v>Ei kuulu</v>
      </c>
      <c r="B8" s="1" t="str">
        <f>Turvallinen_ja_toimintavarma!P6</f>
        <v/>
      </c>
      <c r="C8" s="163" t="str">
        <f t="shared" ref="C8:C71" si="0">IF(AND(A8="Kuuluu",H8="Ei",B8&lt;&gt;"Extra"),"Kyllä","Ei")</f>
        <v>Ei</v>
      </c>
      <c r="D8" s="1" t="str">
        <f>KorjattavaaTaulukko[[#This Row],[Huoltovarmuuskriteeri]]</f>
        <v>Kyllä</v>
      </c>
      <c r="E8" s="1" t="str">
        <f>KorjattavaaTaulukko[[#This Row],[Pääkategoria]]</f>
        <v>Turvallinen ja toimintavarma</v>
      </c>
      <c r="F8" s="1" t="str">
        <f>KorjattavaaTaulukko[[#This Row],[Alakategoria]]</f>
        <v>1. Laadukas, raakaveden laadun huomioiva, kriteerit täyttävä vedenkäsittelyprosessi</v>
      </c>
      <c r="G8" s="1" t="str">
        <f>KorjattavaaTaulukko[[#This Row],[Arviointikriteeri]]</f>
        <v>1.1 Vesilaitoksella on valmius aloittaa tai järjestää klooridesinfiointi 6 h sisällä talousvesiasetuksen (1352/2015) 20 a pykälän edellyttämällä tavalla.</v>
      </c>
      <c r="H8" s="1" t="str">
        <f>KorjattavaaTaulukko[[#This Row],[Vastaus ]]</f>
        <v/>
      </c>
    </row>
    <row r="9" spans="1:12" x14ac:dyDescent="0.35">
      <c r="A9" s="1" t="str">
        <f>Turvallinen_ja_toimintavarma!I7</f>
        <v>Ei kuulu</v>
      </c>
      <c r="B9" s="1" t="str">
        <f>Turvallinen_ja_toimintavarma!P7</f>
        <v/>
      </c>
      <c r="C9" s="163" t="str">
        <f t="shared" si="0"/>
        <v>Ei</v>
      </c>
      <c r="D9" s="1" t="str">
        <f>KorjattavaaTaulukko[[#This Row],[Huoltovarmuuskriteeri]]</f>
        <v>Kyllä</v>
      </c>
      <c r="E9" s="1" t="str">
        <f>KorjattavaaTaulukko[[#This Row],[Pääkategoria]]</f>
        <v>Turvallinen ja toimintavarma</v>
      </c>
      <c r="F9" s="1" t="str">
        <f>KorjattavaaTaulukko[[#This Row],[Alakategoria]]</f>
        <v>1. Laadukas, raakaveden laadun huomioiva, kriteerit täyttävä vedenkäsittelyprosessi</v>
      </c>
      <c r="G9" s="1" t="str">
        <f>KorjattavaaTaulukko[[#This Row],[Arviointikriteeri]]</f>
        <v>1.2 Klooridesinfiointia testataan säännöllisesti.</v>
      </c>
      <c r="H9" s="1" t="str">
        <f>KorjattavaaTaulukko[[#This Row],[Vastaus ]]</f>
        <v/>
      </c>
    </row>
    <row r="10" spans="1:12" x14ac:dyDescent="0.35">
      <c r="A10" s="1" t="str">
        <f>Turvallinen_ja_toimintavarma!I8</f>
        <v>Ei kuulu</v>
      </c>
      <c r="B10" s="1" t="str">
        <f>Turvallinen_ja_toimintavarma!P8</f>
        <v/>
      </c>
      <c r="C10" s="163" t="str">
        <f t="shared" si="0"/>
        <v>Ei</v>
      </c>
      <c r="D10" s="1" t="str">
        <f>KorjattavaaTaulukko[[#This Row],[Huoltovarmuuskriteeri]]</f>
        <v>Kyllä</v>
      </c>
      <c r="E10" s="1" t="str">
        <f>KorjattavaaTaulukko[[#This Row],[Pääkategoria]]</f>
        <v>Turvallinen ja toimintavarma</v>
      </c>
      <c r="F10" s="1" t="str">
        <f>KorjattavaaTaulukko[[#This Row],[Alakategoria]]</f>
        <v>1. Laadukas, raakaveden laadun huomioiva, kriteerit täyttävä vedenkäsittelyprosessi</v>
      </c>
      <c r="G10" s="1" t="str">
        <f>KorjattavaaTaulukko[[#This Row],[Arviointikriteeri]]</f>
        <v>1.3 Laatuvaatimukset täyttävä vedenlaatu (100 % näytteistä)</v>
      </c>
      <c r="H10" s="1" t="str">
        <f>KorjattavaaTaulukko[[#This Row],[Vastaus ]]</f>
        <v/>
      </c>
    </row>
    <row r="11" spans="1:12" x14ac:dyDescent="0.35">
      <c r="A11" s="1" t="str">
        <f>Turvallinen_ja_toimintavarma!I9</f>
        <v>Ei kuulu</v>
      </c>
      <c r="B11" s="1" t="str">
        <f>Turvallinen_ja_toimintavarma!P9</f>
        <v/>
      </c>
      <c r="C11" s="163" t="str">
        <f t="shared" si="0"/>
        <v>Ei</v>
      </c>
      <c r="D11" s="1" t="str">
        <f>KorjattavaaTaulukko[[#This Row],[Huoltovarmuuskriteeri]]</f>
        <v>Ei</v>
      </c>
      <c r="E11" s="1" t="str">
        <f>KorjattavaaTaulukko[[#This Row],[Pääkategoria]]</f>
        <v>Turvallinen ja toimintavarma</v>
      </c>
      <c r="F11" s="1" t="str">
        <f>KorjattavaaTaulukko[[#This Row],[Alakategoria]]</f>
        <v>1. Laadukas, raakaveden laadun huomioiva, kriteerit täyttävä vedenkäsittelyprosessi</v>
      </c>
      <c r="G11" s="1" t="str">
        <f>KorjattavaaTaulukko[[#This Row],[Arviointikriteeri]]</f>
        <v>1.4 Laatutavoitteet täyttävä vedenlaatu (100 % näytteistä)</v>
      </c>
      <c r="H11" s="1" t="str">
        <f>KorjattavaaTaulukko[[#This Row],[Vastaus ]]</f>
        <v/>
      </c>
    </row>
    <row r="12" spans="1:12" x14ac:dyDescent="0.35">
      <c r="A12" s="1" t="str">
        <f>Turvallinen_ja_toimintavarma!I10</f>
        <v>Ei kuulu</v>
      </c>
      <c r="B12" s="1" t="str">
        <f>Turvallinen_ja_toimintavarma!P10</f>
        <v/>
      </c>
      <c r="C12" s="163" t="str">
        <f t="shared" si="0"/>
        <v>Ei</v>
      </c>
      <c r="D12" s="1" t="str">
        <f>KorjattavaaTaulukko[[#This Row],[Huoltovarmuuskriteeri]]</f>
        <v>Ei</v>
      </c>
      <c r="E12" s="1" t="str">
        <f>KorjattavaaTaulukko[[#This Row],[Pääkategoria]]</f>
        <v>Turvallinen ja toimintavarma</v>
      </c>
      <c r="F12" s="1" t="str">
        <f>KorjattavaaTaulukko[[#This Row],[Alakategoria]]</f>
        <v>1. Laadukas, raakaveden laadun huomioiva, kriteerit täyttävä vedenkäsittelyprosessi</v>
      </c>
      <c r="G12" s="1" t="str">
        <f>KorjattavaaTaulukko[[#This Row],[Arviointikriteeri]]</f>
        <v>1.5 Vesijohtoverkoston paineettomissa putkirikkokorjauksissa rikkoutunut putkilinjaosuus desinfioidaan tai varmistetaan verkoston mikrobiologinen puhtaus tutkimuksin ennen käyttöönottoa.</v>
      </c>
      <c r="H12" s="1" t="str">
        <f>KorjattavaaTaulukko[[#This Row],[Vastaus ]]</f>
        <v/>
      </c>
    </row>
    <row r="13" spans="1:12" x14ac:dyDescent="0.35">
      <c r="A13" s="1" t="str">
        <f>Turvallinen_ja_toimintavarma!I11</f>
        <v>Ei kuulu</v>
      </c>
      <c r="B13" s="1" t="str">
        <f>Turvallinen_ja_toimintavarma!P11</f>
        <v/>
      </c>
      <c r="C13" s="163" t="str">
        <f t="shared" si="0"/>
        <v>Ei</v>
      </c>
      <c r="D13" s="1" t="str">
        <f>KorjattavaaTaulukko[[#This Row],[Huoltovarmuuskriteeri]]</f>
        <v>Ei</v>
      </c>
      <c r="E13" s="1" t="str">
        <f>KorjattavaaTaulukko[[#This Row],[Pääkategoria]]</f>
        <v>Turvallinen ja toimintavarma</v>
      </c>
      <c r="F13" s="1" t="str">
        <f>KorjattavaaTaulukko[[#This Row],[Alakategoria]]</f>
        <v>1. Laadukas, raakaveden laadun huomioiva, kriteerit täyttävä vedenkäsittelyprosessi</v>
      </c>
      <c r="G13" s="1" t="str">
        <f>KorjattavaaTaulukko[[#This Row],[Arviointikriteeri]]</f>
        <v>1.6 Vedenjakeluverkoston näytteenottopisteiden edustavuus valvontatutkimusohjelmassa on säännöllisesti varmistettu alueelliset erityispiirteet ja WSP:n tulokset huomioon ottaen.</v>
      </c>
      <c r="H13" s="1" t="str">
        <f>KorjattavaaTaulukko[[#This Row],[Vastaus ]]</f>
        <v/>
      </c>
    </row>
    <row r="14" spans="1:12" x14ac:dyDescent="0.35">
      <c r="A14" s="1" t="str">
        <f>Turvallinen_ja_toimintavarma!I12</f>
        <v>Ei kuulu</v>
      </c>
      <c r="B14" s="1" t="str">
        <f>Turvallinen_ja_toimintavarma!P12</f>
        <v/>
      </c>
      <c r="C14" s="163" t="str">
        <f t="shared" si="0"/>
        <v>Ei</v>
      </c>
      <c r="D14" s="1" t="str">
        <f>KorjattavaaTaulukko[[#This Row],[Huoltovarmuuskriteeri]]</f>
        <v>Ei</v>
      </c>
      <c r="E14" s="1" t="str">
        <f>KorjattavaaTaulukko[[#This Row],[Pääkategoria]]</f>
        <v>Turvallinen ja toimintavarma</v>
      </c>
      <c r="F14" s="1" t="str">
        <f>KorjattavaaTaulukko[[#This Row],[Alakategoria]]</f>
        <v>1. Laadukas, raakaveden laadun huomioiva, kriteerit täyttävä vedenkäsittelyprosessi</v>
      </c>
      <c r="G14" s="1" t="str">
        <f>KorjattavaaTaulukko[[#This Row],[Arviointikriteeri]]</f>
        <v>1.7 Talousvesi desinfioidaan jatkuvatoimisesti ennen johtamista vedenjakeluverkostoon tai vesihuoltolaitos on tehnyt riskiarvion, jonka perusteella jatkuvatoimiselle talousveden desinfioinnille ei ole tarvetta</v>
      </c>
      <c r="H14" s="1" t="str">
        <f>KorjattavaaTaulukko[[#This Row],[Vastaus ]]</f>
        <v/>
      </c>
    </row>
    <row r="15" spans="1:12" x14ac:dyDescent="0.35">
      <c r="A15" s="1" t="str">
        <f>Turvallinen_ja_toimintavarma!I13</f>
        <v>Ei kuulu</v>
      </c>
      <c r="B15" s="1" t="str">
        <f>Turvallinen_ja_toimintavarma!P13</f>
        <v/>
      </c>
      <c r="C15" s="163" t="str">
        <f t="shared" si="0"/>
        <v>Ei</v>
      </c>
      <c r="D15" s="1" t="str">
        <f>KorjattavaaTaulukko[[#This Row],[Huoltovarmuuskriteeri]]</f>
        <v>Ei</v>
      </c>
      <c r="E15" s="1" t="str">
        <f>KorjattavaaTaulukko[[#This Row],[Pääkategoria]]</f>
        <v>Turvallinen ja toimintavarma</v>
      </c>
      <c r="F15" s="1" t="str">
        <f>KorjattavaaTaulukko[[#This Row],[Alakategoria]]</f>
        <v>1. Laadukas, raakaveden laadun huomioiva, kriteerit täyttävä vedenkäsittelyprosessi</v>
      </c>
      <c r="G15" s="1" t="str">
        <f>KorjattavaaTaulukko[[#This Row],[Arviointikriteeri]]</f>
        <v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v>
      </c>
      <c r="H15" s="1" t="str">
        <f>KorjattavaaTaulukko[[#This Row],[Vastaus ]]</f>
        <v/>
      </c>
    </row>
    <row r="16" spans="1:12" x14ac:dyDescent="0.35">
      <c r="A16" s="1" t="str">
        <f>Turvallinen_ja_toimintavarma!I14</f>
        <v>Ei kuulu</v>
      </c>
      <c r="B16" s="1" t="str">
        <f>Turvallinen_ja_toimintavarma!P14</f>
        <v/>
      </c>
      <c r="C16" s="163" t="str">
        <f t="shared" si="0"/>
        <v>Ei</v>
      </c>
      <c r="D16" s="1" t="str">
        <f>KorjattavaaTaulukko[[#This Row],[Huoltovarmuuskriteeri]]</f>
        <v>Kyllä</v>
      </c>
      <c r="E16" s="1" t="str">
        <f>KorjattavaaTaulukko[[#This Row],[Pääkategoria]]</f>
        <v>Turvallinen ja toimintavarma</v>
      </c>
      <c r="F16" s="1" t="str">
        <f>KorjattavaaTaulukko[[#This Row],[Alakategoria]]</f>
        <v>1. Laadukas, raakaveden laadun huomioiva, kriteerit täyttävä vedenkäsittelyprosessi</v>
      </c>
      <c r="G16" s="1" t="str">
        <f>KorjattavaaTaulukko[[#This Row],[Arviointikriteeri]]</f>
        <v>1.9 Talousveden käsittelyprosessin kriittisten toimintojen toimivuutta on varmistettu kahdentamalla (esim. laitteet, vaihtoehtoinen käsittelyprosessi/kemikaali/toimittaja)</v>
      </c>
      <c r="H16" s="1" t="str">
        <f>KorjattavaaTaulukko[[#This Row],[Vastaus ]]</f>
        <v/>
      </c>
    </row>
    <row r="17" spans="1:8" x14ac:dyDescent="0.35">
      <c r="A17" s="1" t="str">
        <f>Turvallinen_ja_toimintavarma!I15</f>
        <v>Ei kuulu</v>
      </c>
      <c r="B17" s="1" t="str">
        <f>Turvallinen_ja_toimintavarma!P15</f>
        <v/>
      </c>
      <c r="C17" s="163" t="str">
        <f t="shared" si="0"/>
        <v>Ei</v>
      </c>
      <c r="D17" s="1" t="str">
        <f>KorjattavaaTaulukko[[#This Row],[Huoltovarmuuskriteeri]]</f>
        <v>Ei</v>
      </c>
      <c r="E17" s="1" t="str">
        <f>KorjattavaaTaulukko[[#This Row],[Pääkategoria]]</f>
        <v>Turvallinen ja toimintavarma</v>
      </c>
      <c r="F17" s="1" t="str">
        <f>KorjattavaaTaulukko[[#This Row],[Alakategoria]]</f>
        <v>1. Laadukas, raakaveden laadun huomioiva, kriteerit täyttävä vedenkäsittelyprosessi</v>
      </c>
      <c r="G17" s="1" t="str">
        <f>KorjattavaaTaulukko[[#This Row],[Arviointikriteeri]]</f>
        <v>1.10. Vesilaitoksella on käytössä omassa tai ulkopuolisen hallinnassa oleva verkostomalli vedenjakelun varmistamiseen ja kehittämiseen.</v>
      </c>
      <c r="H17" s="1" t="str">
        <f>KorjattavaaTaulukko[[#This Row],[Vastaus ]]</f>
        <v/>
      </c>
    </row>
    <row r="18" spans="1:8" x14ac:dyDescent="0.35">
      <c r="A18" s="1" t="str">
        <f>Turvallinen_ja_toimintavarma!I16</f>
        <v>Ei kuulu</v>
      </c>
      <c r="B18" s="1" t="str">
        <f>Turvallinen_ja_toimintavarma!P16</f>
        <v/>
      </c>
      <c r="C18" s="163" t="str">
        <f t="shared" si="0"/>
        <v>Ei</v>
      </c>
      <c r="D18" s="1" t="str">
        <f>KorjattavaaTaulukko[[#This Row],[Huoltovarmuuskriteeri]]</f>
        <v>Ei</v>
      </c>
      <c r="E18" s="1" t="str">
        <f>KorjattavaaTaulukko[[#This Row],[Pääkategoria]]</f>
        <v>Turvallinen ja toimintavarma</v>
      </c>
      <c r="F18" s="1" t="str">
        <f>KorjattavaaTaulukko[[#This Row],[Alakategoria]]</f>
        <v>1. Laadukas, raakaveden laadun huomioiva, kriteerit täyttävä vedenkäsittelyprosessi</v>
      </c>
      <c r="G18" s="1" t="str">
        <f>KorjattavaaTaulukko[[#This Row],[Arviointikriteeri]]</f>
        <v xml:space="preserve">1.11 Talousveden käsittelyprosessin poistoteho on kemiallisen saastumisen tilanteessa arvioitu ja prosessia voidaan tarvittaessa tehostaa. (esim. aktiivihiilen syöttö) </v>
      </c>
      <c r="H18" s="1" t="str">
        <f>KorjattavaaTaulukko[[#This Row],[Vastaus ]]</f>
        <v/>
      </c>
    </row>
    <row r="19" spans="1:8" x14ac:dyDescent="0.35">
      <c r="A19" s="1" t="str">
        <f>Turvallinen_ja_toimintavarma!I17</f>
        <v>Ei kuulu</v>
      </c>
      <c r="B19" s="1" t="str">
        <f>Turvallinen_ja_toimintavarma!P17</f>
        <v/>
      </c>
      <c r="C19" s="163" t="str">
        <f t="shared" si="0"/>
        <v>Ei</v>
      </c>
      <c r="D19" s="1" t="str">
        <f>KorjattavaaTaulukko[[#This Row],[Huoltovarmuuskriteeri]]</f>
        <v>Ei</v>
      </c>
      <c r="E19" s="1" t="str">
        <f>KorjattavaaTaulukko[[#This Row],[Pääkategoria]]</f>
        <v>Turvallinen ja toimintavarma</v>
      </c>
      <c r="F19" s="1" t="str">
        <f>KorjattavaaTaulukko[[#This Row],[Alakategoria]]</f>
        <v>_Otsikkorivi</v>
      </c>
      <c r="G19" s="1" t="str">
        <f>KorjattavaaTaulukko[[#This Row],[Arviointikriteeri]]</f>
        <v>2. Ajantasainen varautumis- ja valmiussuunnittelu ja yhteistyö muiden toimijoiden kanssa</v>
      </c>
      <c r="H19" s="1" t="str">
        <f>KorjattavaaTaulukko[[#This Row],[Vastaus ]]</f>
        <v/>
      </c>
    </row>
    <row r="20" spans="1:8" x14ac:dyDescent="0.35">
      <c r="A20" s="1" t="str">
        <f>Turvallinen_ja_toimintavarma!I18</f>
        <v>Ei kuulu</v>
      </c>
      <c r="B20" s="1" t="str">
        <f>Turvallinen_ja_toimintavarma!P18</f>
        <v/>
      </c>
      <c r="C20" s="163" t="str">
        <f t="shared" si="0"/>
        <v>Ei</v>
      </c>
      <c r="D20" s="1" t="str">
        <f>KorjattavaaTaulukko[[#This Row],[Huoltovarmuuskriteeri]]</f>
        <v>Kyllä</v>
      </c>
      <c r="E20" s="1" t="str">
        <f>KorjattavaaTaulukko[[#This Row],[Pääkategoria]]</f>
        <v>Turvallinen ja toimintavarma</v>
      </c>
      <c r="F20" s="1" t="str">
        <f>KorjattavaaTaulukko[[#This Row],[Alakategoria]]</f>
        <v>2. Ajantasainen varautumis- ja valmiussuunnittelu ja yhteistyö muiden toimijoiden kanssa</v>
      </c>
      <c r="G20" s="1" t="str">
        <f>KorjattavaaTaulukko[[#This Row],[Arviointikriteeri]]</f>
        <v>2.1 Vesihuoltolaitoksella on vähintään vuosittain arvioitava ja tarvittaessa päivitettävä varautumissuunnitelma</v>
      </c>
      <c r="H20" s="1" t="str">
        <f>KorjattavaaTaulukko[[#This Row],[Vastaus ]]</f>
        <v/>
      </c>
    </row>
    <row r="21" spans="1:8" x14ac:dyDescent="0.35">
      <c r="A21" s="1" t="str">
        <f>Turvallinen_ja_toimintavarma!I19</f>
        <v>Ei kuulu</v>
      </c>
      <c r="B21" s="1" t="str">
        <f>Turvallinen_ja_toimintavarma!P19</f>
        <v/>
      </c>
      <c r="C21" s="163" t="str">
        <f t="shared" si="0"/>
        <v>Ei</v>
      </c>
      <c r="D21" s="1" t="str">
        <f>KorjattavaaTaulukko[[#This Row],[Huoltovarmuuskriteeri]]</f>
        <v>Kyllä</v>
      </c>
      <c r="E21" s="1" t="str">
        <f>KorjattavaaTaulukko[[#This Row],[Pääkategoria]]</f>
        <v>Turvallinen ja toimintavarma</v>
      </c>
      <c r="F21" s="1" t="str">
        <f>KorjattavaaTaulukko[[#This Row],[Alakategoria]]</f>
        <v>2. Ajantasainen varautumis- ja valmiussuunnittelu ja yhteistyö muiden toimijoiden kanssa</v>
      </c>
      <c r="G21" s="1" t="str">
        <f>KorjattavaaTaulukko[[#This Row],[Arviointikriteeri]]</f>
        <v>2.2 Talousveden laaturiskejä arvioidaan ja riskienhallintaa kehitetään ja sen toimivuutta seurataan systemaattisesti esim. WSP-työkalun avulla</v>
      </c>
      <c r="H21" s="1" t="str">
        <f>KorjattavaaTaulukko[[#This Row],[Vastaus ]]</f>
        <v/>
      </c>
    </row>
    <row r="22" spans="1:8" x14ac:dyDescent="0.35">
      <c r="A22" s="1" t="str">
        <f>Turvallinen_ja_toimintavarma!I20</f>
        <v>Ei kuulu</v>
      </c>
      <c r="B22" s="1" t="str">
        <f>Turvallinen_ja_toimintavarma!P20</f>
        <v/>
      </c>
      <c r="C22" s="163" t="str">
        <f t="shared" si="0"/>
        <v>Ei</v>
      </c>
      <c r="D22" s="1" t="str">
        <f>KorjattavaaTaulukko[[#This Row],[Huoltovarmuuskriteeri]]</f>
        <v>Kyllä</v>
      </c>
      <c r="E22" s="1" t="str">
        <f>KorjattavaaTaulukko[[#This Row],[Pääkategoria]]</f>
        <v>Turvallinen ja toimintavarma</v>
      </c>
      <c r="F22" s="1" t="str">
        <f>KorjattavaaTaulukko[[#This Row],[Alakategoria]]</f>
        <v>2. Ajantasainen varautumis- ja valmiussuunnittelu ja yhteistyö muiden toimijoiden kanssa</v>
      </c>
      <c r="G22" s="1" t="str">
        <f>KorjattavaaTaulukko[[#This Row],[Arviointikriteeri]]</f>
        <v>2.3 Viemäröinnin ja jätevedenpuhdistuksen ympäristö- ja terveysriskejä arvioidaan ja riskienhallintaa kehitetään systemaattisesti esim. SSP-työkalun avulla</v>
      </c>
      <c r="H22" s="1" t="str">
        <f>KorjattavaaTaulukko[[#This Row],[Vastaus ]]</f>
        <v/>
      </c>
    </row>
    <row r="23" spans="1:8" x14ac:dyDescent="0.35">
      <c r="A23" s="1" t="str">
        <f>Turvallinen_ja_toimintavarma!I21</f>
        <v>Ei kuulu</v>
      </c>
      <c r="B23" s="1" t="str">
        <f>Turvallinen_ja_toimintavarma!P21</f>
        <v/>
      </c>
      <c r="C23" s="163" t="str">
        <f t="shared" si="0"/>
        <v>Ei</v>
      </c>
      <c r="D23" s="1" t="str">
        <f>KorjattavaaTaulukko[[#This Row],[Huoltovarmuuskriteeri]]</f>
        <v>Kyllä</v>
      </c>
      <c r="E23" s="1" t="str">
        <f>KorjattavaaTaulukko[[#This Row],[Pääkategoria]]</f>
        <v>Turvallinen ja toimintavarma</v>
      </c>
      <c r="F23" s="1" t="str">
        <f>KorjattavaaTaulukko[[#This Row],[Alakategoria]]</f>
        <v>2. Ajantasainen varautumis- ja valmiussuunnittelu ja yhteistyö muiden toimijoiden kanssa</v>
      </c>
      <c r="G23" s="1" t="str">
        <f>KorjattavaaTaulukko[[#This Row],[Arviointikriteeri]]</f>
        <v>2.4 Vesihuoltolaitoksella on tehty häiriötilanneharjoittelu vuoden sisällä yhdessä sidosryhmien kanssa (tai 3 vuoden sisällä jos ei omaa vedentuotantoa)</v>
      </c>
      <c r="H23" s="1" t="str">
        <f>KorjattavaaTaulukko[[#This Row],[Vastaus ]]</f>
        <v/>
      </c>
    </row>
    <row r="24" spans="1:8" x14ac:dyDescent="0.35">
      <c r="A24" s="1" t="str">
        <f>Turvallinen_ja_toimintavarma!I22</f>
        <v>Ei kuulu</v>
      </c>
      <c r="B24" s="1" t="str">
        <f>Turvallinen_ja_toimintavarma!P22</f>
        <v/>
      </c>
      <c r="C24" s="163" t="str">
        <f t="shared" si="0"/>
        <v>Ei</v>
      </c>
      <c r="D24" s="1" t="str">
        <f>KorjattavaaTaulukko[[#This Row],[Huoltovarmuuskriteeri]]</f>
        <v>Kyllä</v>
      </c>
      <c r="E24" s="1" t="str">
        <f>KorjattavaaTaulukko[[#This Row],[Pääkategoria]]</f>
        <v>Turvallinen ja toimintavarma</v>
      </c>
      <c r="F24" s="1" t="str">
        <f>KorjattavaaTaulukko[[#This Row],[Alakategoria]]</f>
        <v>2. Ajantasainen varautumis- ja valmiussuunnittelu ja yhteistyö muiden toimijoiden kanssa</v>
      </c>
      <c r="G24" s="1" t="str">
        <f>KorjattavaaTaulukko[[#This Row],[Arviointikriteeri]]</f>
        <v>2.5 Vesihuoltopalvelun jatkuvuuden kannalta kriittiset perustoiminnot (esim. veden hankinta, veden käsittely, viemäröinti, jäteveden käsittely jne.) on tunnistettu.</v>
      </c>
      <c r="H24" s="1" t="str">
        <f>KorjattavaaTaulukko[[#This Row],[Vastaus ]]</f>
        <v/>
      </c>
    </row>
    <row r="25" spans="1:8" x14ac:dyDescent="0.35">
      <c r="A25" s="1" t="str">
        <f>Turvallinen_ja_toimintavarma!I23</f>
        <v>Ei kuulu</v>
      </c>
      <c r="B25" s="1" t="str">
        <f>Turvallinen_ja_toimintavarma!P23</f>
        <v/>
      </c>
      <c r="C25" s="163" t="str">
        <f t="shared" si="0"/>
        <v>Ei</v>
      </c>
      <c r="D25" s="1" t="str">
        <f>KorjattavaaTaulukko[[#This Row],[Huoltovarmuuskriteeri]]</f>
        <v>Kyllä</v>
      </c>
      <c r="E25" s="1" t="str">
        <f>KorjattavaaTaulukko[[#This Row],[Pääkategoria]]</f>
        <v>Turvallinen ja toimintavarma</v>
      </c>
      <c r="F25" s="1" t="str">
        <f>KorjattavaaTaulukko[[#This Row],[Alakategoria]]</f>
        <v>2. Ajantasainen varautumis- ja valmiussuunnittelu ja yhteistyö muiden toimijoiden kanssa</v>
      </c>
      <c r="G25" s="1" t="str">
        <f>KorjattavaaTaulukko[[#This Row],[Arviointikriteeri]]</f>
        <v>2.6 Varavedenottamot, varavesilaitokset ja/tai varavesiyhteydet ovat joko jatkuvassa käytössä tai niiden toimintavalmius varmistetaan (esim. näytteenotoin ja koekäyttämällä) säännöllisesti vähintään vuosittain.</v>
      </c>
      <c r="H25" s="1" t="str">
        <f>KorjattavaaTaulukko[[#This Row],[Vastaus ]]</f>
        <v/>
      </c>
    </row>
    <row r="26" spans="1:8" x14ac:dyDescent="0.35">
      <c r="A26" s="1" t="str">
        <f>Turvallinen_ja_toimintavarma!I24</f>
        <v>Ei kuulu</v>
      </c>
      <c r="B26" s="1" t="str">
        <f>Turvallinen_ja_toimintavarma!P24</f>
        <v/>
      </c>
      <c r="C26" s="163" t="str">
        <f t="shared" si="0"/>
        <v>Ei</v>
      </c>
      <c r="D26" s="1" t="str">
        <f>KorjattavaaTaulukko[[#This Row],[Huoltovarmuuskriteeri]]</f>
        <v>Kyllä</v>
      </c>
      <c r="E26" s="1" t="str">
        <f>KorjattavaaTaulukko[[#This Row],[Pääkategoria]]</f>
        <v>Turvallinen ja toimintavarma</v>
      </c>
      <c r="F26" s="1" t="str">
        <f>KorjattavaaTaulukko[[#This Row],[Alakategoria]]</f>
        <v>2. Ajantasainen varautumis- ja valmiussuunnittelu ja yhteistyö muiden toimijoiden kanssa</v>
      </c>
      <c r="G26" s="1" t="str">
        <f>KorjattavaaTaulukko[[#This Row],[Arviointikriteeri]]</f>
        <v>2.7 Vesihuoltolaitos hallitsee riskiperusteisesti ja oikeasuhtaisesti ilmastonmuutoksen toiminnalleen aiheuttamia riskejä.</v>
      </c>
      <c r="H26" s="1" t="str">
        <f>KorjattavaaTaulukko[[#This Row],[Vastaus ]]</f>
        <v/>
      </c>
    </row>
    <row r="27" spans="1:8" x14ac:dyDescent="0.35">
      <c r="A27" s="1" t="str">
        <f>Turvallinen_ja_toimintavarma!I25</f>
        <v>Ei kuulu</v>
      </c>
      <c r="B27" s="1" t="str">
        <f>Turvallinen_ja_toimintavarma!P25</f>
        <v/>
      </c>
      <c r="C27" s="163" t="str">
        <f t="shared" si="0"/>
        <v>Ei</v>
      </c>
      <c r="D27" s="1" t="str">
        <f>KorjattavaaTaulukko[[#This Row],[Huoltovarmuuskriteeri]]</f>
        <v>Kyllä</v>
      </c>
      <c r="E27" s="1" t="str">
        <f>KorjattavaaTaulukko[[#This Row],[Pääkategoria]]</f>
        <v>Turvallinen ja toimintavarma</v>
      </c>
      <c r="F27" s="1" t="str">
        <f>KorjattavaaTaulukko[[#This Row],[Alakategoria]]</f>
        <v>2. Ajantasainen varautumis- ja valmiussuunnittelu ja yhteistyö muiden toimijoiden kanssa</v>
      </c>
      <c r="G27" s="1" t="str">
        <f>KorjattavaaTaulukko[[#This Row],[Arviointikriteeri]]</f>
        <v xml:space="preserve">2.8 Toiminnan kannalta kriittisimmät automaatio- ja ICT-järjestelmät on tunnistettu ja niiden tietoturvaa hallitaan riskiperusteisesti. </v>
      </c>
      <c r="H27" s="1" t="str">
        <f>KorjattavaaTaulukko[[#This Row],[Vastaus ]]</f>
        <v/>
      </c>
    </row>
    <row r="28" spans="1:8" x14ac:dyDescent="0.35">
      <c r="A28" s="1" t="str">
        <f>Turvallinen_ja_toimintavarma!I26</f>
        <v>Ei kuulu</v>
      </c>
      <c r="B28" s="1" t="str">
        <f>Turvallinen_ja_toimintavarma!P26</f>
        <v/>
      </c>
      <c r="C28" s="163" t="str">
        <f t="shared" si="0"/>
        <v>Ei</v>
      </c>
      <c r="D28" s="1" t="str">
        <f>KorjattavaaTaulukko[[#This Row],[Huoltovarmuuskriteeri]]</f>
        <v>Kyllä</v>
      </c>
      <c r="E28" s="1" t="str">
        <f>KorjattavaaTaulukko[[#This Row],[Pääkategoria]]</f>
        <v>Turvallinen ja toimintavarma</v>
      </c>
      <c r="F28" s="1" t="str">
        <f>KorjattavaaTaulukko[[#This Row],[Alakategoria]]</f>
        <v>2. Ajantasainen varautumis- ja valmiussuunnittelu ja yhteistyö muiden toimijoiden kanssa</v>
      </c>
      <c r="G28" s="1" t="str">
        <f>KorjattavaaTaulukko[[#This Row],[Arviointikriteeri]]</f>
        <v>2.9 Vesihuoltolaitos pitää henkilöstön VAP-varaukset ajan tasalla.</v>
      </c>
      <c r="H28" s="1" t="str">
        <f>KorjattavaaTaulukko[[#This Row],[Vastaus ]]</f>
        <v/>
      </c>
    </row>
    <row r="29" spans="1:8" x14ac:dyDescent="0.35">
      <c r="A29" s="1" t="str">
        <f>Turvallinen_ja_toimintavarma!I27</f>
        <v>Ei kuulu</v>
      </c>
      <c r="B29" s="1" t="str">
        <f>Turvallinen_ja_toimintavarma!P27</f>
        <v/>
      </c>
      <c r="C29" s="163" t="str">
        <f t="shared" si="0"/>
        <v>Ei</v>
      </c>
      <c r="D29" s="1" t="str">
        <f>KorjattavaaTaulukko[[#This Row],[Huoltovarmuuskriteeri]]</f>
        <v>Kyllä</v>
      </c>
      <c r="E29" s="1" t="str">
        <f>KorjattavaaTaulukko[[#This Row],[Pääkategoria]]</f>
        <v>Turvallinen ja toimintavarma</v>
      </c>
      <c r="F29" s="1" t="str">
        <f>KorjattavaaTaulukko[[#This Row],[Alakategoria]]</f>
        <v>2. Ajantasainen varautumis- ja valmiussuunnittelu ja yhteistyö muiden toimijoiden kanssa</v>
      </c>
      <c r="G29" s="1" t="str">
        <f>KorjattavaaTaulukko[[#This Row],[Arviointikriteeri]]</f>
        <v>2.10 Häiriötilanteisiin varautumisessa tehdään yhteistyötä viranomaisten, kunnan, materiaalitoimittajien, palveluntarjoajien, asiakkaiden ja muiden sidosryhmien kanssa.</v>
      </c>
      <c r="H29" s="1" t="str">
        <f>KorjattavaaTaulukko[[#This Row],[Vastaus ]]</f>
        <v/>
      </c>
    </row>
    <row r="30" spans="1:8" x14ac:dyDescent="0.35">
      <c r="A30" s="1" t="str">
        <f>Turvallinen_ja_toimintavarma!I28</f>
        <v>Ei kuulu</v>
      </c>
      <c r="B30" s="1" t="str">
        <f>Turvallinen_ja_toimintavarma!P28</f>
        <v/>
      </c>
      <c r="C30" s="163" t="str">
        <f t="shared" si="0"/>
        <v>Ei</v>
      </c>
      <c r="D30" s="1" t="str">
        <f>KorjattavaaTaulukko[[#This Row],[Huoltovarmuuskriteeri]]</f>
        <v>Ei</v>
      </c>
      <c r="E30" s="1" t="str">
        <f>KorjattavaaTaulukko[[#This Row],[Pääkategoria]]</f>
        <v>Turvallinen ja toimintavarma</v>
      </c>
      <c r="F30" s="1" t="str">
        <f>KorjattavaaTaulukko[[#This Row],[Alakategoria]]</f>
        <v>2. Ajantasainen varautumis- ja valmiussuunnittelu ja yhteistyö muiden toimijoiden kanssa</v>
      </c>
      <c r="G30" s="1" t="str">
        <f>KorjattavaaTaulukko[[#This Row],[Arviointikriteeri]]</f>
        <v>2.11 Vesihuoltolaitoksen pääasiallinen varmuusluokka on B (Talousvettä käytettävissä ≥ 60 % normaalista kulutuksesta, mikäli vedenjakelualueen pääasiallista vesilähdettä ei voida käyttää).</v>
      </c>
      <c r="H30" s="1" t="str">
        <f>KorjattavaaTaulukko[[#This Row],[Vastaus ]]</f>
        <v/>
      </c>
    </row>
    <row r="31" spans="1:8" x14ac:dyDescent="0.35">
      <c r="A31" s="1" t="str">
        <f>Turvallinen_ja_toimintavarma!I29</f>
        <v>Ei kuulu</v>
      </c>
      <c r="B31" s="1" t="str">
        <f>Turvallinen_ja_toimintavarma!P29</f>
        <v/>
      </c>
      <c r="C31" s="163" t="str">
        <f t="shared" si="0"/>
        <v>Ei</v>
      </c>
      <c r="D31" s="1" t="str">
        <f>KorjattavaaTaulukko[[#This Row],[Huoltovarmuuskriteeri]]</f>
        <v>Kyllä</v>
      </c>
      <c r="E31" s="1" t="str">
        <f>KorjattavaaTaulukko[[#This Row],[Pääkategoria]]</f>
        <v>Turvallinen ja toimintavarma</v>
      </c>
      <c r="F31" s="1" t="str">
        <f>KorjattavaaTaulukko[[#This Row],[Alakategoria]]</f>
        <v>2. Ajantasainen varautumis- ja valmiussuunnittelu ja yhteistyö muiden toimijoiden kanssa</v>
      </c>
      <c r="G31" s="1" t="str">
        <f>KorjattavaaTaulukko[[#This Row],[Arviointikriteeri]]</f>
        <v>2.11 Vesihuoltolaitoksen pääasiallinen varmuusluokka on A (Talousvettä käytettävissä ≥ 90 % normaalista kulutuksesta, mikäli vedenjakelualueen pääasiallista vesilähdettä ei voida käyttää).</v>
      </c>
      <c r="H31" s="1" t="str">
        <f>KorjattavaaTaulukko[[#This Row],[Vastaus ]]</f>
        <v/>
      </c>
    </row>
    <row r="32" spans="1:8" x14ac:dyDescent="0.35">
      <c r="A32" s="1" t="str">
        <f>Turvallinen_ja_toimintavarma!I30</f>
        <v>Ei kuulu</v>
      </c>
      <c r="B32" s="1" t="str">
        <f>Turvallinen_ja_toimintavarma!P30</f>
        <v/>
      </c>
      <c r="C32" s="163" t="str">
        <f t="shared" si="0"/>
        <v>Ei</v>
      </c>
      <c r="D32" s="1" t="str">
        <f>KorjattavaaTaulukko[[#This Row],[Huoltovarmuuskriteeri]]</f>
        <v>Kyllä</v>
      </c>
      <c r="E32" s="1" t="str">
        <f>KorjattavaaTaulukko[[#This Row],[Pääkategoria]]</f>
        <v>Turvallinen ja toimintavarma</v>
      </c>
      <c r="F32" s="1" t="str">
        <f>KorjattavaaTaulukko[[#This Row],[Alakategoria]]</f>
        <v>2. Ajantasainen varautumis- ja valmiussuunnittelu ja yhteistyö muiden toimijoiden kanssa</v>
      </c>
      <c r="G32" s="1" t="str">
        <f>KorjattavaaTaulukko[[#This Row],[Arviointikriteeri]]</f>
        <v>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v>
      </c>
      <c r="H32" s="1" t="str">
        <f>KorjattavaaTaulukko[[#This Row],[Vastaus ]]</f>
        <v/>
      </c>
    </row>
    <row r="33" spans="1:8" x14ac:dyDescent="0.35">
      <c r="A33" s="1" t="str">
        <f>Turvallinen_ja_toimintavarma!I31</f>
        <v>Ei kuulu</v>
      </c>
      <c r="B33" s="1" t="str">
        <f>Turvallinen_ja_toimintavarma!P31</f>
        <v/>
      </c>
      <c r="C33" s="163" t="str">
        <f t="shared" si="0"/>
        <v>Ei</v>
      </c>
      <c r="D33" s="1" t="str">
        <f>KorjattavaaTaulukko[[#This Row],[Huoltovarmuuskriteeri]]</f>
        <v>Kyllä</v>
      </c>
      <c r="E33" s="1" t="str">
        <f>KorjattavaaTaulukko[[#This Row],[Pääkategoria]]</f>
        <v>Turvallinen ja toimintavarma</v>
      </c>
      <c r="F33" s="1" t="str">
        <f>KorjattavaaTaulukko[[#This Row],[Alakategoria]]</f>
        <v>2. Ajantasainen varautumis- ja valmiussuunnittelu ja yhteistyö muiden toimijoiden kanssa</v>
      </c>
      <c r="G33" s="1" t="str">
        <f>KorjattavaaTaulukko[[#This Row],[Arviointikriteeri]]</f>
        <v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v>
      </c>
      <c r="H33" s="1" t="str">
        <f>KorjattavaaTaulukko[[#This Row],[Vastaus ]]</f>
        <v/>
      </c>
    </row>
    <row r="34" spans="1:8" x14ac:dyDescent="0.35">
      <c r="A34" s="1" t="str">
        <f>Turvallinen_ja_toimintavarma!I32</f>
        <v>Ei kuulu</v>
      </c>
      <c r="B34" s="1" t="str">
        <f>Turvallinen_ja_toimintavarma!P32</f>
        <v/>
      </c>
      <c r="C34" s="163" t="str">
        <f t="shared" si="0"/>
        <v>Ei</v>
      </c>
      <c r="D34" s="1" t="str">
        <f>KorjattavaaTaulukko[[#This Row],[Huoltovarmuuskriteeri]]</f>
        <v>Kyllä</v>
      </c>
      <c r="E34" s="1" t="str">
        <f>KorjattavaaTaulukko[[#This Row],[Pääkategoria]]</f>
        <v>Turvallinen ja toimintavarma</v>
      </c>
      <c r="F34" s="1" t="str">
        <f>KorjattavaaTaulukko[[#This Row],[Alakategoria]]</f>
        <v>2. Ajantasainen varautumis- ja valmiussuunnittelu ja yhteistyö muiden toimijoiden kanssa</v>
      </c>
      <c r="G34" s="1" t="str">
        <f>KorjattavaaTaulukko[[#This Row],[Arviointikriteeri]]</f>
        <v xml:space="preserve">2.14 Varavoimakoneiden käyttöönotto ja toimivuus testataan säännöllisesti. </v>
      </c>
      <c r="H34" s="1" t="str">
        <f>KorjattavaaTaulukko[[#This Row],[Vastaus ]]</f>
        <v/>
      </c>
    </row>
    <row r="35" spans="1:8" x14ac:dyDescent="0.35">
      <c r="A35" s="1" t="str">
        <f>Turvallinen_ja_toimintavarma!I33</f>
        <v>Ei kuulu</v>
      </c>
      <c r="B35" s="1" t="str">
        <f>Turvallinen_ja_toimintavarma!P33</f>
        <v/>
      </c>
      <c r="C35" s="163" t="str">
        <f t="shared" si="0"/>
        <v>Ei</v>
      </c>
      <c r="D35" s="1" t="str">
        <f>KorjattavaaTaulukko[[#This Row],[Huoltovarmuuskriteeri]]</f>
        <v>Kyllä</v>
      </c>
      <c r="E35" s="1" t="str">
        <f>KorjattavaaTaulukko[[#This Row],[Pääkategoria]]</f>
        <v>Turvallinen ja toimintavarma</v>
      </c>
      <c r="F35" s="1" t="str">
        <f>KorjattavaaTaulukko[[#This Row],[Alakategoria]]</f>
        <v>2. Ajantasainen varautumis- ja valmiussuunnittelu ja yhteistyö muiden toimijoiden kanssa</v>
      </c>
      <c r="G35" s="1" t="str">
        <f>KorjattavaaTaulukko[[#This Row],[Arviointikriteeri]]</f>
        <v>2.15 Vesihuoltolaitos on selvittänyt materiaalisia yhteistyötarpeita ja -mahdollisuuksia muiden vesihuoltolaitosten kanssa. Jos yhteisiä tarpeita ja mahdollisuuksia on havaittu, on tehty yhteistyösopimuksia (esim. varavoima, vedenjakelukalusto, kemikaalit, varaosat).</v>
      </c>
      <c r="H35" s="1" t="str">
        <f>KorjattavaaTaulukko[[#This Row],[Vastaus ]]</f>
        <v/>
      </c>
    </row>
    <row r="36" spans="1:8" x14ac:dyDescent="0.35">
      <c r="A36" s="1" t="str">
        <f>Turvallinen_ja_toimintavarma!I34</f>
        <v>Ei kuulu</v>
      </c>
      <c r="B36" s="1" t="str">
        <f>Turvallinen_ja_toimintavarma!P34</f>
        <v/>
      </c>
      <c r="C36" s="163" t="str">
        <f t="shared" si="0"/>
        <v>Ei</v>
      </c>
      <c r="D36" s="1" t="str">
        <f>KorjattavaaTaulukko[[#This Row],[Huoltovarmuuskriteeri]]</f>
        <v>Kyllä</v>
      </c>
      <c r="E36" s="1" t="str">
        <f>KorjattavaaTaulukko[[#This Row],[Pääkategoria]]</f>
        <v>Turvallinen ja toimintavarma</v>
      </c>
      <c r="F36" s="1" t="str">
        <f>KorjattavaaTaulukko[[#This Row],[Alakategoria]]</f>
        <v>2. Ajantasainen varautumis- ja valmiussuunnittelu ja yhteistyö muiden toimijoiden kanssa</v>
      </c>
      <c r="G36" s="1" t="str">
        <f>KorjattavaaTaulukko[[#This Row],[Arviointikriteeri]]</f>
        <v>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v>
      </c>
      <c r="H36" s="1" t="str">
        <f>KorjattavaaTaulukko[[#This Row],[Vastaus ]]</f>
        <v/>
      </c>
    </row>
    <row r="37" spans="1:8" x14ac:dyDescent="0.35">
      <c r="A37" s="1" t="str">
        <f>Turvallinen_ja_toimintavarma!I35</f>
        <v>Ei kuulu</v>
      </c>
      <c r="B37" s="1" t="str">
        <f>Turvallinen_ja_toimintavarma!P35</f>
        <v/>
      </c>
      <c r="C37" s="163" t="str">
        <f t="shared" si="0"/>
        <v>Ei</v>
      </c>
      <c r="D37" s="1" t="str">
        <f>KorjattavaaTaulukko[[#This Row],[Huoltovarmuuskriteeri]]</f>
        <v>Kyllä</v>
      </c>
      <c r="E37" s="1" t="str">
        <f>KorjattavaaTaulukko[[#This Row],[Pääkategoria]]</f>
        <v>Turvallinen ja toimintavarma</v>
      </c>
      <c r="F37" s="1" t="str">
        <f>KorjattavaaTaulukko[[#This Row],[Alakategoria]]</f>
        <v>2. Ajantasainen varautumis- ja valmiussuunnittelu ja yhteistyö muiden toimijoiden kanssa</v>
      </c>
      <c r="G37" s="1" t="str">
        <f>KorjattavaaTaulukko[[#This Row],[Arviointikriteeri]]</f>
        <v>2.17 On selvitetty mahdollisuuksia ja tarvetta vesihuoltolaitosten välisiin olennaisiin normaali/poikkeustilanteen verkostoyhteyksiin ja jos tarve on tunnistettu, on tehty sopimukset, rakennettu yhteydet sekä sovittu käytännöistä.</v>
      </c>
      <c r="H37" s="1" t="str">
        <f>KorjattavaaTaulukko[[#This Row],[Vastaus ]]</f>
        <v/>
      </c>
    </row>
    <row r="38" spans="1:8" x14ac:dyDescent="0.35">
      <c r="A38" s="1" t="str">
        <f>Turvallinen_ja_toimintavarma!I36</f>
        <v>Ei kuulu</v>
      </c>
      <c r="B38" s="1" t="str">
        <f>Turvallinen_ja_toimintavarma!P36</f>
        <v/>
      </c>
      <c r="C38" s="163" t="str">
        <f t="shared" si="0"/>
        <v>Ei</v>
      </c>
      <c r="D38" s="1" t="str">
        <f>KorjattavaaTaulukko[[#This Row],[Huoltovarmuuskriteeri]]</f>
        <v>Kyllä</v>
      </c>
      <c r="E38" s="1" t="str">
        <f>KorjattavaaTaulukko[[#This Row],[Pääkategoria]]</f>
        <v>Turvallinen ja toimintavarma</v>
      </c>
      <c r="F38" s="1" t="str">
        <f>KorjattavaaTaulukko[[#This Row],[Alakategoria]]</f>
        <v>2. Ajantasainen varautumis- ja valmiussuunnittelu ja yhteistyö muiden toimijoiden kanssa</v>
      </c>
      <c r="G38" s="1" t="str">
        <f>KorjattavaaTaulukko[[#This Row],[Arviointikriteeri]]</f>
        <v>2.18 Vesihuoltolaitoksen kohteiden (esim. kiinteistöjen, toimitilojen) riittävästä fyysisestä turvallisuudesta (lukitus, kulunseuranta, aitaus, valvontakamerat tms.)  on huolehdittu asianmukaisesti ottaen huomioon niiden kriittisyys.</v>
      </c>
      <c r="H38" s="1" t="str">
        <f>KorjattavaaTaulukko[[#This Row],[Vastaus ]]</f>
        <v/>
      </c>
    </row>
    <row r="39" spans="1:8" x14ac:dyDescent="0.35">
      <c r="A39" s="1" t="str">
        <f>Turvallinen_ja_toimintavarma!I37</f>
        <v>Ei kuulu</v>
      </c>
      <c r="B39" s="1" t="str">
        <f>Turvallinen_ja_toimintavarma!P37</f>
        <v/>
      </c>
      <c r="C39" s="163" t="str">
        <f t="shared" si="0"/>
        <v>Ei</v>
      </c>
      <c r="D39" s="1" t="str">
        <f>KorjattavaaTaulukko[[#This Row],[Huoltovarmuuskriteeri]]</f>
        <v>Kyllä</v>
      </c>
      <c r="E39" s="1" t="str">
        <f>KorjattavaaTaulukko[[#This Row],[Pääkategoria]]</f>
        <v>Turvallinen ja toimintavarma</v>
      </c>
      <c r="F39" s="1" t="str">
        <f>KorjattavaaTaulukko[[#This Row],[Alakategoria]]</f>
        <v>2. Ajantasainen varautumis- ja valmiussuunnittelu ja yhteistyö muiden toimijoiden kanssa</v>
      </c>
      <c r="G39" s="1" t="str">
        <f>KorjattavaaTaulukko[[#This Row],[Arviointikriteeri]]</f>
        <v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v>
      </c>
      <c r="H39" s="1" t="str">
        <f>KorjattavaaTaulukko[[#This Row],[Vastaus ]]</f>
        <v/>
      </c>
    </row>
    <row r="40" spans="1:8" x14ac:dyDescent="0.35">
      <c r="A40" s="1" t="str">
        <f>Turvallinen_ja_toimintavarma!I38</f>
        <v>Ei kuulu</v>
      </c>
      <c r="B40" s="1" t="str">
        <f>Turvallinen_ja_toimintavarma!P38</f>
        <v/>
      </c>
      <c r="C40" s="163" t="str">
        <f t="shared" si="0"/>
        <v>Ei</v>
      </c>
      <c r="D40" s="1" t="str">
        <f>KorjattavaaTaulukko[[#This Row],[Huoltovarmuuskriteeri]]</f>
        <v>Kyllä</v>
      </c>
      <c r="E40" s="1" t="str">
        <f>KorjattavaaTaulukko[[#This Row],[Pääkategoria]]</f>
        <v>Turvallinen ja toimintavarma</v>
      </c>
      <c r="F40" s="1" t="str">
        <f>KorjattavaaTaulukko[[#This Row],[Alakategoria]]</f>
        <v>2. Ajantasainen varautumis- ja valmiussuunnittelu ja yhteistyö muiden toimijoiden kanssa</v>
      </c>
      <c r="G40" s="1" t="str">
        <f>KorjattavaaTaulukko[[#This Row],[Arviointikriteeri]]</f>
        <v xml:space="preserve">2.20 Vesihuoltolaitoksella on häiriötilanteiden hoitoa varten etukäteen sovittu ja harjoiteltu toimintatapa tilannekuvan kokoamiseen ja ylläpitoon. </v>
      </c>
      <c r="H40" s="1" t="str">
        <f>KorjattavaaTaulukko[[#This Row],[Vastaus ]]</f>
        <v/>
      </c>
    </row>
    <row r="41" spans="1:8" x14ac:dyDescent="0.35">
      <c r="A41" s="1" t="str">
        <f>Turvallinen_ja_toimintavarma!I39</f>
        <v>Ei kuulu</v>
      </c>
      <c r="B41" s="1" t="str">
        <f>Turvallinen_ja_toimintavarma!P39</f>
        <v/>
      </c>
      <c r="C41" s="163" t="str">
        <f t="shared" si="0"/>
        <v>Ei</v>
      </c>
      <c r="D41" s="1" t="str">
        <f>KorjattavaaTaulukko[[#This Row],[Huoltovarmuuskriteeri]]</f>
        <v>Kyllä</v>
      </c>
      <c r="E41" s="1" t="str">
        <f>KorjattavaaTaulukko[[#This Row],[Pääkategoria]]</f>
        <v>Turvallinen ja toimintavarma</v>
      </c>
      <c r="F41" s="1" t="str">
        <f>KorjattavaaTaulukko[[#This Row],[Alakategoria]]</f>
        <v>2. Ajantasainen varautumis- ja valmiussuunnittelu ja yhteistyö muiden toimijoiden kanssa</v>
      </c>
      <c r="G41" s="1" t="str">
        <f>KorjattavaaTaulukko[[#This Row],[Arviointikriteeri]]</f>
        <v>2.21 Vesihuoltolaitoksella on laadittu toiminnan kannalta kriittisten automaatio- ja ICT-järjestelmien häiriötilanteiden varajärjestelyt ja häiriöistä toipuminen on suunniteltu. Tietoturvaa havainnoidaan.</v>
      </c>
      <c r="H41" s="1" t="str">
        <f>KorjattavaaTaulukko[[#This Row],[Vastaus ]]</f>
        <v/>
      </c>
    </row>
    <row r="42" spans="1:8" x14ac:dyDescent="0.35">
      <c r="A42" s="1" t="str">
        <f>Turvallinen_ja_toimintavarma!I40</f>
        <v>Ei kuulu</v>
      </c>
      <c r="B42" s="1" t="str">
        <f>Turvallinen_ja_toimintavarma!P40</f>
        <v/>
      </c>
      <c r="C42" s="163" t="str">
        <f t="shared" si="0"/>
        <v>Ei</v>
      </c>
      <c r="D42" s="1" t="str">
        <f>KorjattavaaTaulukko[[#This Row],[Huoltovarmuuskriteeri]]</f>
        <v>Kyllä</v>
      </c>
      <c r="E42" s="1" t="str">
        <f>KorjattavaaTaulukko[[#This Row],[Pääkategoria]]</f>
        <v>Turvallinen ja toimintavarma</v>
      </c>
      <c r="F42" s="1" t="str">
        <f>KorjattavaaTaulukko[[#This Row],[Alakategoria]]</f>
        <v>2. Ajantasainen varautumis- ja valmiussuunnittelu ja yhteistyö muiden toimijoiden kanssa</v>
      </c>
      <c r="G42" s="1" t="str">
        <f>KorjattavaaTaulukko[[#This Row],[Arviointikriteeri]]</f>
        <v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v>
      </c>
      <c r="H42" s="1" t="str">
        <f>KorjattavaaTaulukko[[#This Row],[Vastaus ]]</f>
        <v/>
      </c>
    </row>
    <row r="43" spans="1:8" x14ac:dyDescent="0.35">
      <c r="A43" s="1" t="str">
        <f>Turvallinen_ja_toimintavarma!I41</f>
        <v>Ei kuulu</v>
      </c>
      <c r="B43" s="1" t="str">
        <f>Turvallinen_ja_toimintavarma!P41</f>
        <v/>
      </c>
      <c r="C43" s="163" t="str">
        <f t="shared" si="0"/>
        <v>Ei</v>
      </c>
      <c r="D43" s="1" t="str">
        <f>KorjattavaaTaulukko[[#This Row],[Huoltovarmuuskriteeri]]</f>
        <v>Kyllä</v>
      </c>
      <c r="E43" s="1" t="str">
        <f>KorjattavaaTaulukko[[#This Row],[Pääkategoria]]</f>
        <v>Turvallinen ja toimintavarma</v>
      </c>
      <c r="F43" s="1" t="str">
        <f>KorjattavaaTaulukko[[#This Row],[Alakategoria]]</f>
        <v>2. Ajantasainen varautumis- ja valmiussuunnittelu ja yhteistyö muiden toimijoiden kanssa</v>
      </c>
      <c r="G43" s="1" t="str">
        <f>KorjattavaaTaulukko[[#This Row],[Arviointikriteeri]]</f>
        <v>2.23 Vesihuoltolaitos pitää tarvitsemiensa ajoneuvojen ja työkoneiden ATV-varaukset ajan tasalla. (Välttämättömien ajoneuvojen ja työkoneiden varaaminen poikkeusoloissa vesihuollon käyttöön)</v>
      </c>
      <c r="H43" s="1" t="str">
        <f>KorjattavaaTaulukko[[#This Row],[Vastaus ]]</f>
        <v/>
      </c>
    </row>
    <row r="44" spans="1:8" x14ac:dyDescent="0.35">
      <c r="A44" s="1" t="str">
        <f>Turvallinen_ja_toimintavarma!I42</f>
        <v>Ei kuulu</v>
      </c>
      <c r="B44" s="1" t="str">
        <f>Turvallinen_ja_toimintavarma!P42</f>
        <v/>
      </c>
      <c r="C44" s="163" t="str">
        <f t="shared" si="0"/>
        <v>Ei</v>
      </c>
      <c r="D44" s="1" t="str">
        <f>KorjattavaaTaulukko[[#This Row],[Huoltovarmuuskriteeri]]</f>
        <v>Kyllä</v>
      </c>
      <c r="E44" s="1" t="str">
        <f>KorjattavaaTaulukko[[#This Row],[Pääkategoria]]</f>
        <v>Turvallinen ja toimintavarma</v>
      </c>
      <c r="F44" s="1" t="str">
        <f>KorjattavaaTaulukko[[#This Row],[Alakategoria]]</f>
        <v>2. Ajantasainen varautumis- ja valmiussuunnittelu ja yhteistyö muiden toimijoiden kanssa</v>
      </c>
      <c r="G44" s="1" t="str">
        <f>KorjattavaaTaulukko[[#This Row],[Arviointikriteeri]]</f>
        <v>2.24 Automaatio- ja ICT-järjestelmien (OT- ja IT- järjestelmät) tietoturvaa on arvioitu hyödyntäen Kybermittaria tai Kyber-Vesi -hankkeen automaation vaatimuspatteristoa.</v>
      </c>
      <c r="H44" s="1" t="str">
        <f>KorjattavaaTaulukko[[#This Row],[Vastaus ]]</f>
        <v/>
      </c>
    </row>
    <row r="45" spans="1:8" x14ac:dyDescent="0.35">
      <c r="A45" s="1" t="str">
        <f>Turvallinen_ja_toimintavarma!I43</f>
        <v>Ei kuulu</v>
      </c>
      <c r="B45" s="1" t="str">
        <f>Turvallinen_ja_toimintavarma!P43</f>
        <v/>
      </c>
      <c r="C45" s="163" t="str">
        <f t="shared" si="0"/>
        <v>Ei</v>
      </c>
      <c r="D45" s="1" t="str">
        <f>KorjattavaaTaulukko[[#This Row],[Huoltovarmuuskriteeri]]</f>
        <v>Ei</v>
      </c>
      <c r="E45" s="1" t="str">
        <f>KorjattavaaTaulukko[[#This Row],[Pääkategoria]]</f>
        <v>Turvallinen ja toimintavarma</v>
      </c>
      <c r="F45" s="1" t="str">
        <f>KorjattavaaTaulukko[[#This Row],[Alakategoria]]</f>
        <v>_Otsikkorivi</v>
      </c>
      <c r="G45" s="1" t="str">
        <f>KorjattavaaTaulukko[[#This Row],[Arviointikriteeri]]</f>
        <v>3. Kriittiset asiakkaat, väliaikainen vedenjakelu ja poikkeustilanteiden viestintä</v>
      </c>
      <c r="H45" s="1" t="str">
        <f>KorjattavaaTaulukko[[#This Row],[Vastaus ]]</f>
        <v/>
      </c>
    </row>
    <row r="46" spans="1:8" x14ac:dyDescent="0.35">
      <c r="A46" s="1" t="str">
        <f>Turvallinen_ja_toimintavarma!I44</f>
        <v>Ei kuulu</v>
      </c>
      <c r="B46" s="1" t="str">
        <f>Turvallinen_ja_toimintavarma!P44</f>
        <v/>
      </c>
      <c r="C46" s="163" t="str">
        <f t="shared" si="0"/>
        <v>Ei</v>
      </c>
      <c r="D46" s="1" t="str">
        <f>KorjattavaaTaulukko[[#This Row],[Huoltovarmuuskriteeri]]</f>
        <v>Kyllä</v>
      </c>
      <c r="E46" s="1" t="str">
        <f>KorjattavaaTaulukko[[#This Row],[Pääkategoria]]</f>
        <v>Turvallinen ja toimintavarma</v>
      </c>
      <c r="F46" s="1" t="str">
        <f>KorjattavaaTaulukko[[#This Row],[Alakategoria]]</f>
        <v>3. Kriittiset asiakkaat, väliaikainen vedenjakelu ja poikkeustilanteiden viestintä</v>
      </c>
      <c r="G46" s="1" t="str">
        <f>KorjattavaaTaulukko[[#This Row],[Arviointikriteeri]]</f>
        <v xml:space="preserve">3.1 Vesihuoltolaitoksen kriittiset asiakkaat on tunnistettu (määritetty ja luokiteltu) ja dokumentoitu (esim. vesihuoltolaitoksen verkkotietojärjestelmään ja varautumisohjeisiin) </v>
      </c>
      <c r="H46" s="1" t="str">
        <f>KorjattavaaTaulukko[[#This Row],[Vastaus ]]</f>
        <v/>
      </c>
    </row>
    <row r="47" spans="1:8" x14ac:dyDescent="0.35">
      <c r="A47" s="1" t="str">
        <f>Turvallinen_ja_toimintavarma!I45</f>
        <v>Ei kuulu</v>
      </c>
      <c r="B47" s="1" t="str">
        <f>Turvallinen_ja_toimintavarma!P45</f>
        <v/>
      </c>
      <c r="C47" s="163" t="str">
        <f t="shared" si="0"/>
        <v>Ei</v>
      </c>
      <c r="D47" s="1" t="str">
        <f>KorjattavaaTaulukko[[#This Row],[Huoltovarmuuskriteeri]]</f>
        <v>Kyllä</v>
      </c>
      <c r="E47" s="1" t="str">
        <f>KorjattavaaTaulukko[[#This Row],[Pääkategoria]]</f>
        <v>Turvallinen ja toimintavarma</v>
      </c>
      <c r="F47" s="1" t="str">
        <f>KorjattavaaTaulukko[[#This Row],[Alakategoria]]</f>
        <v>3. Kriittiset asiakkaat, väliaikainen vedenjakelu ja poikkeustilanteiden viestintä</v>
      </c>
      <c r="G47" s="1" t="str">
        <f>KorjattavaaTaulukko[[#This Row],[Arviointikriteeri]]</f>
        <v>3.2 Varavedenjakelukaluston saatavuus ja riittävä kapasiteetti on varmistettu tavanomaisissa (pienivaikutteisissa) vedenjakelun häiriötilanteissa omalla kalustolla ja/tai muuten.</v>
      </c>
      <c r="H47" s="1" t="str">
        <f>KorjattavaaTaulukko[[#This Row],[Vastaus ]]</f>
        <v/>
      </c>
    </row>
    <row r="48" spans="1:8" x14ac:dyDescent="0.35">
      <c r="A48" s="1" t="str">
        <f>Turvallinen_ja_toimintavarma!I46</f>
        <v>Ei kuulu</v>
      </c>
      <c r="B48" s="1" t="str">
        <f>Turvallinen_ja_toimintavarma!P46</f>
        <v/>
      </c>
      <c r="C48" s="163" t="str">
        <f t="shared" si="0"/>
        <v>Ei</v>
      </c>
      <c r="D48" s="1" t="str">
        <f>KorjattavaaTaulukko[[#This Row],[Huoltovarmuuskriteeri]]</f>
        <v>Kyllä</v>
      </c>
      <c r="E48" s="1" t="str">
        <f>KorjattavaaTaulukko[[#This Row],[Pääkategoria]]</f>
        <v>Turvallinen ja toimintavarma</v>
      </c>
      <c r="F48" s="1" t="str">
        <f>KorjattavaaTaulukko[[#This Row],[Alakategoria]]</f>
        <v>3. Kriittiset asiakkaat, väliaikainen vedenjakelu ja poikkeustilanteiden viestintä</v>
      </c>
      <c r="G48" s="1" t="str">
        <f>KorjattavaaTaulukko[[#This Row],[Arviointikriteeri]]</f>
        <v xml:space="preserve">3.3 Vesihuoltolaitoksen varavedenjakelu (esim. jakelupisteet, kalusto, säiliöt, pullot yms.) on suunniteltu myös laajavaikutteisiin vedenjakelutarpeisiin. </v>
      </c>
      <c r="H48" s="1" t="str">
        <f>KorjattavaaTaulukko[[#This Row],[Vastaus ]]</f>
        <v/>
      </c>
    </row>
    <row r="49" spans="1:8" x14ac:dyDescent="0.35">
      <c r="A49" s="1" t="str">
        <f>Turvallinen_ja_toimintavarma!I47</f>
        <v>Ei kuulu</v>
      </c>
      <c r="B49" s="1" t="str">
        <f>Turvallinen_ja_toimintavarma!P47</f>
        <v/>
      </c>
      <c r="C49" s="163" t="str">
        <f t="shared" si="0"/>
        <v>Ei</v>
      </c>
      <c r="D49" s="1" t="str">
        <f>KorjattavaaTaulukko[[#This Row],[Huoltovarmuuskriteeri]]</f>
        <v>Kyllä</v>
      </c>
      <c r="E49" s="1" t="str">
        <f>KorjattavaaTaulukko[[#This Row],[Pääkategoria]]</f>
        <v>Turvallinen ja toimintavarma</v>
      </c>
      <c r="F49" s="1" t="str">
        <f>KorjattavaaTaulukko[[#This Row],[Alakategoria]]</f>
        <v>3. Kriittiset asiakkaat, väliaikainen vedenjakelu ja poikkeustilanteiden viestintä</v>
      </c>
      <c r="G49" s="1" t="str">
        <f>KorjattavaaTaulukko[[#This Row],[Arviointikriteeri]]</f>
        <v xml:space="preserve">3.4 Varavedenjakelua on harjoiteltu.  (esim. todellisten tilanteiden myötä) </v>
      </c>
      <c r="H49" s="1" t="str">
        <f>KorjattavaaTaulukko[[#This Row],[Vastaus ]]</f>
        <v/>
      </c>
    </row>
    <row r="50" spans="1:8" x14ac:dyDescent="0.35">
      <c r="A50" s="1" t="str">
        <f>Turvallinen_ja_toimintavarma!I48</f>
        <v>Ei kuulu</v>
      </c>
      <c r="B50" s="1" t="str">
        <f>Turvallinen_ja_toimintavarma!P48</f>
        <v/>
      </c>
      <c r="C50" s="163" t="str">
        <f t="shared" si="0"/>
        <v>Ei</v>
      </c>
      <c r="D50" s="1" t="str">
        <f>KorjattavaaTaulukko[[#This Row],[Huoltovarmuuskriteeri]]</f>
        <v>Kyllä</v>
      </c>
      <c r="E50" s="1" t="str">
        <f>KorjattavaaTaulukko[[#This Row],[Pääkategoria]]</f>
        <v>Turvallinen ja toimintavarma</v>
      </c>
      <c r="F50" s="1" t="str">
        <f>KorjattavaaTaulukko[[#This Row],[Alakategoria]]</f>
        <v>3. Kriittiset asiakkaat, väliaikainen vedenjakelu ja poikkeustilanteiden viestintä</v>
      </c>
      <c r="G50" s="1" t="str">
        <f>KorjattavaaTaulukko[[#This Row],[Arviointikriteeri]]</f>
        <v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v>
      </c>
      <c r="H50" s="1" t="str">
        <f>KorjattavaaTaulukko[[#This Row],[Vastaus ]]</f>
        <v/>
      </c>
    </row>
    <row r="51" spans="1:8" x14ac:dyDescent="0.35">
      <c r="A51" s="1" t="str">
        <f>Turvallinen_ja_toimintavarma!I49</f>
        <v>Ei kuulu</v>
      </c>
      <c r="B51" s="1" t="str">
        <f>Turvallinen_ja_toimintavarma!P49</f>
        <v/>
      </c>
      <c r="C51" s="163" t="str">
        <f t="shared" si="0"/>
        <v>Ei</v>
      </c>
      <c r="D51" s="1" t="str">
        <f>KorjattavaaTaulukko[[#This Row],[Huoltovarmuuskriteeri]]</f>
        <v>Kyllä</v>
      </c>
      <c r="E51" s="1" t="str">
        <f>KorjattavaaTaulukko[[#This Row],[Pääkategoria]]</f>
        <v>Turvallinen ja toimintavarma</v>
      </c>
      <c r="F51" s="1" t="str">
        <f>KorjattavaaTaulukko[[#This Row],[Alakategoria]]</f>
        <v>3. Kriittiset asiakkaat, väliaikainen vedenjakelu ja poikkeustilanteiden viestintä</v>
      </c>
      <c r="G51" s="1" t="str">
        <f>KorjattavaaTaulukko[[#This Row],[Arviointikriteeri]]</f>
        <v>3.6 Vesihuoltolaitos seuraa parametria yli 12 h vedentoimituskatkokset (kpl/v, liittyjät/vuosi)</v>
      </c>
      <c r="H51" s="1" t="str">
        <f>KorjattavaaTaulukko[[#This Row],[Vastaus ]]</f>
        <v/>
      </c>
    </row>
    <row r="52" spans="1:8" x14ac:dyDescent="0.35">
      <c r="A52" s="1" t="str">
        <f>Turvallinen_ja_toimintavarma!I50</f>
        <v>Ei kuulu</v>
      </c>
      <c r="B52" s="1" t="str">
        <f>Turvallinen_ja_toimintavarma!P50</f>
        <v/>
      </c>
      <c r="C52" s="163" t="str">
        <f t="shared" si="0"/>
        <v>Ei</v>
      </c>
      <c r="D52" s="1" t="str">
        <f>KorjattavaaTaulukko[[#This Row],[Huoltovarmuuskriteeri]]</f>
        <v>Kyllä</v>
      </c>
      <c r="E52" s="1" t="str">
        <f>KorjattavaaTaulukko[[#This Row],[Pääkategoria]]</f>
        <v>Turvallinen ja toimintavarma</v>
      </c>
      <c r="F52" s="1" t="str">
        <f>KorjattavaaTaulukko[[#This Row],[Alakategoria]]</f>
        <v>3. Kriittiset asiakkaat, väliaikainen vedenjakelu ja poikkeustilanteiden viestintä</v>
      </c>
      <c r="G52" s="1" t="str">
        <f>KorjattavaaTaulukko[[#This Row],[Arviointikriteeri]]</f>
        <v>3.7 Vesihuoltolaitoksella on valmius ilmoittaa keittokehotuksesta tai muista vedenkäyttöön liittyvistä häiriöistä vedenkäyttäjille tar-koituksenmukaisia viestintäkanavia käyttäen tarvittaessa myös kohdennetusti (esim. laputtamalla, tekstiviestillä).</v>
      </c>
      <c r="H52" s="1" t="str">
        <f>KorjattavaaTaulukko[[#This Row],[Vastaus ]]</f>
        <v/>
      </c>
    </row>
    <row r="53" spans="1:8" x14ac:dyDescent="0.35">
      <c r="A53" s="1" t="str">
        <f>Turvallinen_ja_toimintavarma!I51</f>
        <v>Ei kuulu</v>
      </c>
      <c r="B53" s="1" t="str">
        <f>Turvallinen_ja_toimintavarma!P51</f>
        <v/>
      </c>
      <c r="C53" s="163" t="str">
        <f t="shared" si="0"/>
        <v>Ei</v>
      </c>
      <c r="D53" s="1" t="str">
        <f>KorjattavaaTaulukko[[#This Row],[Huoltovarmuuskriteeri]]</f>
        <v>Kyllä</v>
      </c>
      <c r="E53" s="1" t="str">
        <f>KorjattavaaTaulukko[[#This Row],[Pääkategoria]]</f>
        <v>Turvallinen ja toimintavarma</v>
      </c>
      <c r="F53" s="1" t="str">
        <f>KorjattavaaTaulukko[[#This Row],[Alakategoria]]</f>
        <v>3. Kriittiset asiakkaat, väliaikainen vedenjakelu ja poikkeustilanteiden viestintä</v>
      </c>
      <c r="G53" s="1" t="str">
        <f>KorjattavaaTaulukko[[#This Row],[Arviointikriteeri]]</f>
        <v>3.8 On suunniteltu ja käyttöönotettavissa vaihtoehtoiset tiedon- ja toiminnanhallinnan sekä sisäisen viestinnän menetelmät, mikäli internet ja/tai normaalit tietoliikenneyhteydet eivät toimi.</v>
      </c>
      <c r="H53" s="1" t="str">
        <f>KorjattavaaTaulukko[[#This Row],[Vastaus ]]</f>
        <v/>
      </c>
    </row>
    <row r="54" spans="1:8" x14ac:dyDescent="0.35">
      <c r="A54" s="1" t="str">
        <f>Turvallinen_ja_toimintavarma!I52</f>
        <v>Ei kuulu</v>
      </c>
      <c r="B54" s="1" t="str">
        <f>Turvallinen_ja_toimintavarma!P52</f>
        <v/>
      </c>
      <c r="C54" s="163" t="str">
        <f t="shared" si="0"/>
        <v>Ei</v>
      </c>
      <c r="D54" s="1" t="str">
        <f>KorjattavaaTaulukko[[#This Row],[Huoltovarmuuskriteeri]]</f>
        <v>Kyllä</v>
      </c>
      <c r="E54" s="1" t="str">
        <f>KorjattavaaTaulukko[[#This Row],[Pääkategoria]]</f>
        <v>Turvallinen ja toimintavarma</v>
      </c>
      <c r="F54" s="1" t="str">
        <f>KorjattavaaTaulukko[[#This Row],[Alakategoria]]</f>
        <v>3. Kriittiset asiakkaat, väliaikainen vedenjakelu ja poikkeustilanteiden viestintä</v>
      </c>
      <c r="G54" s="1" t="str">
        <f>KorjattavaaTaulukko[[#This Row],[Arviointikriteeri]]</f>
        <v>3.9 Putkirikkojen määrä &lt; 4 kpl/100 km/vuosi</v>
      </c>
      <c r="H54" s="1" t="str">
        <f>KorjattavaaTaulukko[[#This Row],[Vastaus ]]</f>
        <v/>
      </c>
    </row>
    <row r="55" spans="1:8" x14ac:dyDescent="0.35">
      <c r="A55" s="1" t="str">
        <f>Turvallinen_ja_toimintavarma!I53</f>
        <v>Ei kuulu</v>
      </c>
      <c r="B55" s="1" t="str">
        <f>Turvallinen_ja_toimintavarma!P53</f>
        <v/>
      </c>
      <c r="C55" s="163" t="str">
        <f t="shared" ref="C55" si="1">IF(AND(A55="Kuuluu",H55="Ei",B55&lt;&gt;"Extra"),"Kyllä","Ei")</f>
        <v>Ei</v>
      </c>
      <c r="D55" s="1" t="str">
        <f>KorjattavaaTaulukko[[#This Row],[Huoltovarmuuskriteeri]]</f>
        <v>Kyllä</v>
      </c>
      <c r="E55" s="1" t="str">
        <f>KorjattavaaTaulukko[[#This Row],[Pääkategoria]]</f>
        <v>Turvallinen ja toimintavarma</v>
      </c>
      <c r="F55" s="1" t="str">
        <f>KorjattavaaTaulukko[[#This Row],[Alakategoria]]</f>
        <v>3. Kriittiset asiakkaat, väliaikainen vedenjakelu ja poikkeustilanteiden viestintä</v>
      </c>
      <c r="G55" s="1" t="str">
        <f>KorjattavaaTaulukko[[#This Row],[Arviointikriteeri]]</f>
        <v>3.10 Laskuttamattoman talousveden osuus &lt; 15 % (1-4)</v>
      </c>
      <c r="H55" s="1" t="str">
        <f>KorjattavaaTaulukko[[#This Row],[Vastaus ]]</f>
        <v/>
      </c>
    </row>
    <row r="56" spans="1:8" x14ac:dyDescent="0.35">
      <c r="A56" s="1" t="str">
        <f>Turvallinen_ja_toimintavarma!I53</f>
        <v>Ei kuulu</v>
      </c>
      <c r="B56" s="1" t="str">
        <f>Turvallinen_ja_toimintavarma!P53</f>
        <v/>
      </c>
      <c r="C56" s="163" t="str">
        <f t="shared" si="0"/>
        <v>Ei</v>
      </c>
      <c r="D56" s="1" t="str">
        <f>KorjattavaaTaulukko[[#This Row],[Huoltovarmuuskriteeri]]</f>
        <v>Kyllä</v>
      </c>
      <c r="E56" s="1" t="str">
        <f>KorjattavaaTaulukko[[#This Row],[Pääkategoria]]</f>
        <v>Turvallinen ja toimintavarma</v>
      </c>
      <c r="F56" s="1" t="str">
        <f>KorjattavaaTaulukko[[#This Row],[Alakategoria]]</f>
        <v>3. Kriittiset asiakkaat, väliaikainen vedenjakelu ja poikkeustilanteiden viestintä</v>
      </c>
      <c r="G56" s="1" t="str">
        <f>KorjattavaaTaulukko[[#This Row],[Arviointikriteeri]]</f>
        <v>3.11 Erilaisten häiriötilanteiden viestintä on suunniteltu, ohjeistettu ja sitä harjoitellaan. Yhteystiedot pidetään ajan tasalla.</v>
      </c>
      <c r="H56" s="1" t="str">
        <f>KorjattavaaTaulukko[[#This Row],[Vastaus ]]</f>
        <v/>
      </c>
    </row>
    <row r="57" spans="1:8" x14ac:dyDescent="0.35">
      <c r="A57" s="1" t="str">
        <f>Turvallinen_ja_toimintavarma!I54</f>
        <v>Ei kuulu</v>
      </c>
      <c r="B57" s="1" t="str">
        <f>Turvallinen_ja_toimintavarma!P54</f>
        <v/>
      </c>
      <c r="C57" s="163" t="str">
        <f t="shared" si="0"/>
        <v>Ei</v>
      </c>
      <c r="D57" s="1" t="str">
        <f>KorjattavaaTaulukko[[#This Row],[Huoltovarmuuskriteeri]]</f>
        <v>Kyllä</v>
      </c>
      <c r="E57" s="1" t="str">
        <f>KorjattavaaTaulukko[[#This Row],[Pääkategoria]]</f>
        <v>Turvallinen ja toimintavarma</v>
      </c>
      <c r="F57" s="1" t="str">
        <f>KorjattavaaTaulukko[[#This Row],[Alakategoria]]</f>
        <v>3. Kriittiset asiakkaat, väliaikainen vedenjakelu ja poikkeustilanteiden viestintä</v>
      </c>
      <c r="G57" s="1" t="str">
        <f>KorjattavaaTaulukko[[#This Row],[Arviointikriteeri]]</f>
        <v>3.12 Kriittisten asiakkaiden kanssa on käyty neuvottelu vedensaannin turvaamisesta ja tarpeellisten toimenpiteiden määrittely on tehty esim. erillisellä sopimuksella tai kriittisiä asiakkaita ei ole.</v>
      </c>
      <c r="H57" s="1" t="str">
        <f>KorjattavaaTaulukko[[#This Row],[Vastaus ]]</f>
        <v/>
      </c>
    </row>
    <row r="58" spans="1:8" x14ac:dyDescent="0.35">
      <c r="A58" s="1" t="str">
        <f>Turvallinen_ja_toimintavarma!I55</f>
        <v>Ei kuulu</v>
      </c>
      <c r="B58" s="1" t="str">
        <f>Turvallinen_ja_toimintavarma!P55</f>
        <v/>
      </c>
      <c r="C58" s="163" t="str">
        <f t="shared" si="0"/>
        <v>Ei</v>
      </c>
      <c r="D58" s="1" t="str">
        <f>KorjattavaaTaulukko[[#This Row],[Huoltovarmuuskriteeri]]</f>
        <v>Ei</v>
      </c>
      <c r="E58" s="1" t="str">
        <f>KorjattavaaTaulukko[[#This Row],[Pääkategoria]]</f>
        <v>Turvallinen ja toimintavarma</v>
      </c>
      <c r="F58" s="1" t="str">
        <f>KorjattavaaTaulukko[[#This Row],[Alakategoria]]</f>
        <v>_Otsikkorivi</v>
      </c>
      <c r="G58" s="1" t="str">
        <f>KorjattavaaTaulukko[[#This Row],[Arviointikriteeri]]</f>
        <v>4. Kemikaalit, varaosat ja kriittiset palvelut</v>
      </c>
      <c r="H58" s="1" t="str">
        <f>KorjattavaaTaulukko[[#This Row],[Vastaus ]]</f>
        <v/>
      </c>
    </row>
    <row r="59" spans="1:8" x14ac:dyDescent="0.35">
      <c r="A59" s="1" t="str">
        <f>Turvallinen_ja_toimintavarma!I56</f>
        <v>Ei kuulu</v>
      </c>
      <c r="B59" s="1" t="str">
        <f>Turvallinen_ja_toimintavarma!P56</f>
        <v/>
      </c>
      <c r="C59" s="163" t="str">
        <f t="shared" si="0"/>
        <v>Ei</v>
      </c>
      <c r="D59" s="1" t="str">
        <f>KorjattavaaTaulukko[[#This Row],[Huoltovarmuuskriteeri]]</f>
        <v>Kyllä</v>
      </c>
      <c r="E59" s="1" t="str">
        <f>KorjattavaaTaulukko[[#This Row],[Pääkategoria]]</f>
        <v>Turvallinen ja toimintavarma</v>
      </c>
      <c r="F59" s="1" t="str">
        <f>KorjattavaaTaulukko[[#This Row],[Alakategoria]]</f>
        <v>4. Kemikaalit, varaosat ja kriittiset palvelut</v>
      </c>
      <c r="G59" s="1" t="str">
        <f>KorjattavaaTaulukko[[#This Row],[Arviointikriteeri]]</f>
        <v xml:space="preserve">4.1 Vesihuoltolaitoksen kriittiset materiaalit (kemikaalit, varaosat, yms) on tunnistettu. </v>
      </c>
      <c r="H59" s="1" t="str">
        <f>KorjattavaaTaulukko[[#This Row],[Vastaus ]]</f>
        <v/>
      </c>
    </row>
    <row r="60" spans="1:8" x14ac:dyDescent="0.35">
      <c r="A60" s="1" t="str">
        <f>Turvallinen_ja_toimintavarma!I57</f>
        <v>Ei kuulu</v>
      </c>
      <c r="B60" s="1" t="str">
        <f>Turvallinen_ja_toimintavarma!P57</f>
        <v/>
      </c>
      <c r="C60" s="163" t="str">
        <f t="shared" si="0"/>
        <v>Ei</v>
      </c>
      <c r="D60" s="1" t="str">
        <f>KorjattavaaTaulukko[[#This Row],[Huoltovarmuuskriteeri]]</f>
        <v>Kyllä</v>
      </c>
      <c r="E60" s="1" t="str">
        <f>KorjattavaaTaulukko[[#This Row],[Pääkategoria]]</f>
        <v>Turvallinen ja toimintavarma</v>
      </c>
      <c r="F60" s="1" t="str">
        <f>KorjattavaaTaulukko[[#This Row],[Alakategoria]]</f>
        <v>4. Kemikaalit, varaosat ja kriittiset palvelut</v>
      </c>
      <c r="G60" s="1" t="str">
        <f>KorjattavaaTaulukko[[#This Row],[Arviointikriteeri]]</f>
        <v>4.2 Kriittisten materiaalien riittävä varastokapasiteetti ja saatavuus on määritetty ja järjestetty.</v>
      </c>
      <c r="H60" s="1" t="str">
        <f>KorjattavaaTaulukko[[#This Row],[Vastaus ]]</f>
        <v/>
      </c>
    </row>
    <row r="61" spans="1:8" x14ac:dyDescent="0.35">
      <c r="A61" s="1" t="str">
        <f>Turvallinen_ja_toimintavarma!I58</f>
        <v>Ei kuulu</v>
      </c>
      <c r="B61" s="1" t="str">
        <f>Turvallinen_ja_toimintavarma!P58</f>
        <v/>
      </c>
      <c r="C61" s="163" t="str">
        <f t="shared" si="0"/>
        <v>Ei</v>
      </c>
      <c r="D61" s="1" t="str">
        <f>KorjattavaaTaulukko[[#This Row],[Huoltovarmuuskriteeri]]</f>
        <v>Kyllä</v>
      </c>
      <c r="E61" s="1" t="str">
        <f>KorjattavaaTaulukko[[#This Row],[Pääkategoria]]</f>
        <v>Turvallinen ja toimintavarma</v>
      </c>
      <c r="F61" s="1" t="str">
        <f>KorjattavaaTaulukko[[#This Row],[Alakategoria]]</f>
        <v>4. Kemikaalit, varaosat ja kriittiset palvelut</v>
      </c>
      <c r="G61" s="1" t="str">
        <f>KorjattavaaTaulukko[[#This Row],[Arviointikriteeri]]</f>
        <v xml:space="preserve">4.3 Toimittajien kanssa on neuvoteltu jatkuvuudenhallinnasta. </v>
      </c>
      <c r="H61" s="1" t="str">
        <f>KorjattavaaTaulukko[[#This Row],[Vastaus ]]</f>
        <v/>
      </c>
    </row>
    <row r="62" spans="1:8" x14ac:dyDescent="0.35">
      <c r="A62" s="1" t="str">
        <f>Turvallinen_ja_toimintavarma!I59</f>
        <v>Ei kuulu</v>
      </c>
      <c r="B62" s="1" t="str">
        <f>Turvallinen_ja_toimintavarma!P59</f>
        <v/>
      </c>
      <c r="C62" s="163" t="str">
        <f t="shared" si="0"/>
        <v>Ei</v>
      </c>
      <c r="D62" s="1" t="str">
        <f>KorjattavaaTaulukko[[#This Row],[Huoltovarmuuskriteeri]]</f>
        <v>Kyllä</v>
      </c>
      <c r="E62" s="1" t="str">
        <f>KorjattavaaTaulukko[[#This Row],[Pääkategoria]]</f>
        <v>Turvallinen ja toimintavarma</v>
      </c>
      <c r="F62" s="1" t="str">
        <f>KorjattavaaTaulukko[[#This Row],[Alakategoria]]</f>
        <v>4. Kemikaalit, varaosat ja kriittiset palvelut</v>
      </c>
      <c r="G62" s="1" t="str">
        <f>KorjattavaaTaulukko[[#This Row],[Arviointikriteeri]]</f>
        <v xml:space="preserve">4.4 Kriittisten materiaalien saanti on otettu huomioon sopimuksissa (esim. SOPIVA-sopimuslausekkeet). </v>
      </c>
      <c r="H62" s="1" t="str">
        <f>KorjattavaaTaulukko[[#This Row],[Vastaus ]]</f>
        <v/>
      </c>
    </row>
    <row r="63" spans="1:8" x14ac:dyDescent="0.35">
      <c r="A63" s="1" t="str">
        <f>Turvallinen_ja_toimintavarma!I60</f>
        <v>Ei kuulu</v>
      </c>
      <c r="B63" s="1" t="str">
        <f>Turvallinen_ja_toimintavarma!P60</f>
        <v/>
      </c>
      <c r="C63" s="163" t="str">
        <f t="shared" si="0"/>
        <v>Ei</v>
      </c>
      <c r="D63" s="1" t="str">
        <f>KorjattavaaTaulukko[[#This Row],[Huoltovarmuuskriteeri]]</f>
        <v>Kyllä</v>
      </c>
      <c r="E63" s="1" t="str">
        <f>KorjattavaaTaulukko[[#This Row],[Pääkategoria]]</f>
        <v>Turvallinen ja toimintavarma</v>
      </c>
      <c r="F63" s="1" t="str">
        <f>KorjattavaaTaulukko[[#This Row],[Alakategoria]]</f>
        <v>4. Kemikaalit, varaosat ja kriittiset palvelut</v>
      </c>
      <c r="G63" s="1" t="str">
        <f>KorjattavaaTaulukko[[#This Row],[Arviointikriteeri]]</f>
        <v>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v>
      </c>
      <c r="H63" s="1" t="str">
        <f>KorjattavaaTaulukko[[#This Row],[Vastaus ]]</f>
        <v/>
      </c>
    </row>
    <row r="64" spans="1:8" x14ac:dyDescent="0.35">
      <c r="A64" s="1" t="str">
        <f>Turvallinen_ja_toimintavarma!I61</f>
        <v>Ei kuulu</v>
      </c>
      <c r="B64" s="1" t="str">
        <f>Turvallinen_ja_toimintavarma!P61</f>
        <v/>
      </c>
      <c r="C64" s="163" t="str">
        <f t="shared" si="0"/>
        <v>Ei</v>
      </c>
      <c r="D64" s="1" t="str">
        <f>KorjattavaaTaulukko[[#This Row],[Huoltovarmuuskriteeri]]</f>
        <v>Kyllä</v>
      </c>
      <c r="E64" s="1" t="str">
        <f>KorjattavaaTaulukko[[#This Row],[Pääkategoria]]</f>
        <v>Turvallinen ja toimintavarma</v>
      </c>
      <c r="F64" s="1" t="str">
        <f>KorjattavaaTaulukko[[#This Row],[Alakategoria]]</f>
        <v>4. Kemikaalit, varaosat ja kriittiset palvelut</v>
      </c>
      <c r="G64" s="1" t="str">
        <f>KorjattavaaTaulukko[[#This Row],[Arviointikriteeri]]</f>
        <v>4.6 Vesihuoltolaitoksen kriittiset palvelut (perustoiminnan ylläpitämisen edellyttämät jatkuvat palvelut, esim. logistiikka) on tunnistettu.</v>
      </c>
      <c r="H64" s="1" t="str">
        <f>KorjattavaaTaulukko[[#This Row],[Vastaus ]]</f>
        <v/>
      </c>
    </row>
    <row r="65" spans="1:8" x14ac:dyDescent="0.35">
      <c r="A65" s="1" t="str">
        <f>Turvallinen_ja_toimintavarma!I62</f>
        <v>Ei kuulu</v>
      </c>
      <c r="B65" s="1" t="str">
        <f>Turvallinen_ja_toimintavarma!P62</f>
        <v/>
      </c>
      <c r="C65" s="163" t="str">
        <f t="shared" si="0"/>
        <v>Ei</v>
      </c>
      <c r="D65" s="1" t="str">
        <f>KorjattavaaTaulukko[[#This Row],[Huoltovarmuuskriteeri]]</f>
        <v>Kyllä</v>
      </c>
      <c r="E65" s="1" t="str">
        <f>KorjattavaaTaulukko[[#This Row],[Pääkategoria]]</f>
        <v>Turvallinen ja toimintavarma</v>
      </c>
      <c r="F65" s="1" t="str">
        <f>KorjattavaaTaulukko[[#This Row],[Alakategoria]]</f>
        <v>4. Kemikaalit, varaosat ja kriittiset palvelut</v>
      </c>
      <c r="G65" s="1" t="str">
        <f>KorjattavaaTaulukko[[#This Row],[Arviointikriteeri]]</f>
        <v>4.7 Vesihuoltolaitoksen kriittisten palveluiden riittävä saatavuus on määritetty ja varmistettu.</v>
      </c>
      <c r="H65" s="1" t="str">
        <f>KorjattavaaTaulukko[[#This Row],[Vastaus ]]</f>
        <v/>
      </c>
    </row>
    <row r="66" spans="1:8" x14ac:dyDescent="0.35">
      <c r="A66" s="1" t="str">
        <f>Turvallinen_ja_toimintavarma!I63</f>
        <v>Ei kuulu</v>
      </c>
      <c r="B66" s="1" t="str">
        <f>Turvallinen_ja_toimintavarma!P63</f>
        <v/>
      </c>
      <c r="C66" s="163" t="str">
        <f t="shared" si="0"/>
        <v>Ei</v>
      </c>
      <c r="D66" s="1" t="str">
        <f>KorjattavaaTaulukko[[#This Row],[Huoltovarmuuskriteeri]]</f>
        <v>Kyllä</v>
      </c>
      <c r="E66" s="1" t="str">
        <f>KorjattavaaTaulukko[[#This Row],[Pääkategoria]]</f>
        <v>Turvallinen ja toimintavarma</v>
      </c>
      <c r="F66" s="1" t="str">
        <f>KorjattavaaTaulukko[[#This Row],[Alakategoria]]</f>
        <v>4. Kemikaalit, varaosat ja kriittiset palvelut</v>
      </c>
      <c r="G66" s="1" t="str">
        <f>KorjattavaaTaulukko[[#This Row],[Arviointikriteeri]]</f>
        <v>4.8 Palvelutarjoajien kanssa on neuvoteltu jatkuvuudenhallinnasta. (esim. VAP-varaukset)</v>
      </c>
      <c r="H66" s="1" t="str">
        <f>KorjattavaaTaulukko[[#This Row],[Vastaus ]]</f>
        <v/>
      </c>
    </row>
    <row r="67" spans="1:8" x14ac:dyDescent="0.35">
      <c r="A67" s="1" t="str">
        <f>Turvallinen_ja_toimintavarma!I64</f>
        <v>Ei kuulu</v>
      </c>
      <c r="B67" s="1" t="str">
        <f>Turvallinen_ja_toimintavarma!P64</f>
        <v/>
      </c>
      <c r="C67" s="163" t="str">
        <f t="shared" si="0"/>
        <v>Ei</v>
      </c>
      <c r="D67" s="1" t="str">
        <f>KorjattavaaTaulukko[[#This Row],[Huoltovarmuuskriteeri]]</f>
        <v>Kyllä</v>
      </c>
      <c r="E67" s="1" t="str">
        <f>KorjattavaaTaulukko[[#This Row],[Pääkategoria]]</f>
        <v>Turvallinen ja toimintavarma</v>
      </c>
      <c r="F67" s="1" t="str">
        <f>KorjattavaaTaulukko[[#This Row],[Alakategoria]]</f>
        <v>4. Kemikaalit, varaosat ja kriittiset palvelut</v>
      </c>
      <c r="G67" s="1" t="str">
        <f>KorjattavaaTaulukko[[#This Row],[Arviointikriteeri]]</f>
        <v>4.9 Kriittisten palvelujen saanti on otettu huomioon sopimuksissa (esim. SOPIVA-sopimuslausekkeet).</v>
      </c>
      <c r="H67" s="1" t="str">
        <f>KorjattavaaTaulukko[[#This Row],[Vastaus ]]</f>
        <v/>
      </c>
    </row>
    <row r="68" spans="1:8" x14ac:dyDescent="0.35">
      <c r="A68" s="1" t="str">
        <f>Turvallinen_ja_toimintavarma!I65</f>
        <v>Ei kuulu</v>
      </c>
      <c r="B68" s="1" t="str">
        <f>Turvallinen_ja_toimintavarma!P65</f>
        <v/>
      </c>
      <c r="C68" s="163" t="str">
        <f t="shared" si="0"/>
        <v>Ei</v>
      </c>
      <c r="D68" s="1" t="str">
        <f>KorjattavaaTaulukko[[#This Row],[Huoltovarmuuskriteeri]]</f>
        <v>Ei</v>
      </c>
      <c r="E68" s="1" t="str">
        <f>KorjattavaaTaulukko[[#This Row],[Pääkategoria]]</f>
        <v>Kustannustehokas ja organisoitu</v>
      </c>
      <c r="F68" s="1" t="str">
        <f>KorjattavaaTaulukko[[#This Row],[Alakategoria]]</f>
        <v>_Otsikkorivi</v>
      </c>
      <c r="G68" s="1" t="str">
        <f>KorjattavaaTaulukko[[#This Row],[Arviointikriteeri]]</f>
        <v>5. Laitoksella on riittävät henkilöstöresurssit ja ammattitaitoinen henkilökunta, ja varallaolo on suunniteltu</v>
      </c>
      <c r="H68" s="1" t="str">
        <f>KorjattavaaTaulukko[[#This Row],[Vastaus ]]</f>
        <v/>
      </c>
    </row>
    <row r="69" spans="1:8" x14ac:dyDescent="0.35">
      <c r="A69" s="1" t="str">
        <f>Turvallinen_ja_toimintavarma!I66</f>
        <v>Ei kuulu</v>
      </c>
      <c r="B69" s="1" t="str">
        <f>Turvallinen_ja_toimintavarma!P66</f>
        <v/>
      </c>
      <c r="C69" s="163" t="str">
        <f>IF(AND(A69="Kuuluu",H69="Ei",B69&lt;&gt;"Extra"),"Kyllä","Ei")</f>
        <v>Ei</v>
      </c>
      <c r="D69" s="1" t="str">
        <f>KorjattavaaTaulukko[[#This Row],[Huoltovarmuuskriteeri]]</f>
        <v>Ei</v>
      </c>
      <c r="E69" s="1" t="str">
        <f>KorjattavaaTaulukko[[#This Row],[Pääkategoria]]</f>
        <v>Kustannustehokas ja organisoitu</v>
      </c>
      <c r="F69" s="1" t="str">
        <f>KorjattavaaTaulukko[[#This Row],[Alakategoria]]</f>
        <v>5. Laitoksella on riittävät henkilöstöresurssit ja ammattitaitoinen henkilökunta, ja varallaolo on suunniteltu</v>
      </c>
      <c r="G69" s="1" t="str">
        <f>KorjattavaaTaulukko[[#This Row],[Arviointikriteeri]]</f>
        <v>5.1 Henkilöstöllä on mahdollisuus kouluttautua ja työnantaja järjestää koulutusta havaitun tarpeen mukaan säännöllisesti.</v>
      </c>
      <c r="H69" s="1" t="str">
        <f>KorjattavaaTaulukko[[#This Row],[Vastaus ]]</f>
        <v/>
      </c>
    </row>
    <row r="70" spans="1:8" x14ac:dyDescent="0.35">
      <c r="A70" s="1" t="str">
        <f>Kustannustehokas_ja_organisoitu!I6</f>
        <v>Ei kuulu</v>
      </c>
      <c r="B70" s="1" t="str">
        <f>Kustannustehokas_ja_organisoitu!P6</f>
        <v/>
      </c>
      <c r="C70" s="163" t="str">
        <f t="shared" si="0"/>
        <v>Ei</v>
      </c>
      <c r="D70" s="1" t="str">
        <f>KorjattavaaTaulukko[[#This Row],[Huoltovarmuuskriteeri]]</f>
        <v>Kyllä</v>
      </c>
      <c r="E70" s="1" t="str">
        <f>KorjattavaaTaulukko[[#This Row],[Pääkategoria]]</f>
        <v>Kustannustehokas ja organisoitu</v>
      </c>
      <c r="F70" s="1" t="str">
        <f>KorjattavaaTaulukko[[#This Row],[Alakategoria]]</f>
        <v>5. Laitoksella on riittävät henkilöstöresurssit ja ammattitaitoinen henkilökunta, ja varallaolo on suunniteltu</v>
      </c>
      <c r="G70" s="1" t="str">
        <f>KorjattavaaTaulukko[[#This Row],[Arviointikriteeri]]</f>
        <v>5.2 Vesihuoltolaitoksella on varallaolojärjestelmä, joka turvaa laitoksen operatiivisen toiminnan 24/7. Työajan ulkopuolisen ajan johtamisjärjestelyt on sovittu ja ohjeistettu. Hälytysyhteystieto on olemassa.</v>
      </c>
      <c r="H70" s="1" t="str">
        <f>KorjattavaaTaulukko[[#This Row],[Vastaus ]]</f>
        <v/>
      </c>
    </row>
    <row r="71" spans="1:8" x14ac:dyDescent="0.35">
      <c r="A71" s="1" t="str">
        <f>Kustannustehokas_ja_organisoitu!I7</f>
        <v>Ei kuulu</v>
      </c>
      <c r="B71" s="1" t="str">
        <f>Kustannustehokas_ja_organisoitu!P7</f>
        <v/>
      </c>
      <c r="C71" s="163" t="str">
        <f t="shared" si="0"/>
        <v>Ei</v>
      </c>
      <c r="D71" s="1" t="str">
        <f>KorjattavaaTaulukko[[#This Row],[Huoltovarmuuskriteeri]]</f>
        <v>Kyllä</v>
      </c>
      <c r="E71" s="1" t="str">
        <f>KorjattavaaTaulukko[[#This Row],[Pääkategoria]]</f>
        <v>Kustannustehokas ja organisoitu</v>
      </c>
      <c r="F71" s="1" t="str">
        <f>KorjattavaaTaulukko[[#This Row],[Alakategoria]]</f>
        <v>5. Laitoksella on riittävät henkilöstöresurssit ja ammattitaitoinen henkilökunta, ja varallaolo on suunniteltu</v>
      </c>
      <c r="G71" s="1" t="str">
        <f>KorjattavaaTaulukko[[#This Row],[Arviointikriteeri]]</f>
        <v>5.3 Henkilökunta pystyy huolehtimaan kaikista operatiiviseen toimintaan liittyvistä kriittisistä toiminnoista itsenäisesti. TAI Vesihuoltolaitoksella on palvelusopimukset kriittisten toimintojen osalta.</v>
      </c>
      <c r="H71" s="1" t="str">
        <f>KorjattavaaTaulukko[[#This Row],[Vastaus ]]</f>
        <v/>
      </c>
    </row>
    <row r="72" spans="1:8" x14ac:dyDescent="0.35">
      <c r="A72" s="1" t="str">
        <f>Kustannustehokas_ja_organisoitu!I8</f>
        <v>Ei kuulu</v>
      </c>
      <c r="B72" s="1" t="str">
        <f>Kustannustehokas_ja_organisoitu!P8</f>
        <v/>
      </c>
      <c r="C72" s="163" t="str">
        <f t="shared" ref="C72:C135" si="2">IF(AND(A72="Kuuluu",H72="Ei",B72&lt;&gt;"Extra"),"Kyllä","Ei")</f>
        <v>Ei</v>
      </c>
      <c r="D72" s="1" t="str">
        <f>KorjattavaaTaulukko[[#This Row],[Huoltovarmuuskriteeri]]</f>
        <v>Kyllä</v>
      </c>
      <c r="E72" s="1" t="str">
        <f>KorjattavaaTaulukko[[#This Row],[Pääkategoria]]</f>
        <v>Kustannustehokas ja organisoitu</v>
      </c>
      <c r="F72" s="1" t="str">
        <f>KorjattavaaTaulukko[[#This Row],[Alakategoria]]</f>
        <v>5. Laitoksella on riittävät henkilöstöresurssit ja ammattitaitoinen henkilökunta, ja varallaolo on suunniteltu</v>
      </c>
      <c r="G72" s="1" t="str">
        <f>KorjattavaaTaulukko[[#This Row],[Arviointikriteeri]]</f>
        <v xml:space="preserve">5.4 Henkilöstölle on laadittu laitoksen omat osaamistasovaatimukset. Osaamistasomäärityksessä voidaan hyödyntää esim. Vesihuoltolaitosten osaamiskriteerit -hankkeen osaamiskartoitustyökalua. </v>
      </c>
      <c r="H72" s="1" t="str">
        <f>KorjattavaaTaulukko[[#This Row],[Vastaus ]]</f>
        <v/>
      </c>
    </row>
    <row r="73" spans="1:8" x14ac:dyDescent="0.35">
      <c r="A73" s="1" t="str">
        <f>Kustannustehokas_ja_organisoitu!I9</f>
        <v>Ei kuulu</v>
      </c>
      <c r="B73" s="1" t="str">
        <f>Kustannustehokas_ja_organisoitu!P9</f>
        <v/>
      </c>
      <c r="C73" s="163" t="str">
        <f t="shared" si="2"/>
        <v>Ei</v>
      </c>
      <c r="D73" s="1" t="str">
        <f>KorjattavaaTaulukko[[#This Row],[Huoltovarmuuskriteeri]]</f>
        <v>Kyllä</v>
      </c>
      <c r="E73" s="1" t="str">
        <f>KorjattavaaTaulukko[[#This Row],[Pääkategoria]]</f>
        <v>Kustannustehokas ja organisoitu</v>
      </c>
      <c r="F73" s="1" t="str">
        <f>KorjattavaaTaulukko[[#This Row],[Alakategoria]]</f>
        <v>5. Laitoksella on riittävät henkilöstöresurssit ja ammattitaitoinen henkilökunta, ja varallaolo on suunniteltu</v>
      </c>
      <c r="G73" s="1" t="str">
        <f>KorjattavaaTaulukko[[#This Row],[Arviointikriteeri]]</f>
        <v>5.5 Avainhenkilöt eli perustoiminnon ylläpitämisessä kriittiset henkilöt on tunnistettu ja nimetty. Avainhenkilöille on nimetty varahenkilöt, jotka on perehdytetty työnkuvaan.</v>
      </c>
      <c r="H73" s="1" t="str">
        <f>KorjattavaaTaulukko[[#This Row],[Vastaus ]]</f>
        <v/>
      </c>
    </row>
    <row r="74" spans="1:8" x14ac:dyDescent="0.35">
      <c r="A74" s="1" t="str">
        <f>Kustannustehokas_ja_organisoitu!I10</f>
        <v>Ei kuulu</v>
      </c>
      <c r="B74" s="1" t="str">
        <f>Kustannustehokas_ja_organisoitu!P10</f>
        <v/>
      </c>
      <c r="C74" s="163" t="str">
        <f t="shared" si="2"/>
        <v>Ei</v>
      </c>
      <c r="D74" s="1" t="str">
        <f>KorjattavaaTaulukko[[#This Row],[Huoltovarmuuskriteeri]]</f>
        <v>Ei</v>
      </c>
      <c r="E74" s="1" t="str">
        <f>KorjattavaaTaulukko[[#This Row],[Pääkategoria]]</f>
        <v>Kustannustehokas ja organisoitu</v>
      </c>
      <c r="F74" s="1" t="str">
        <f>KorjattavaaTaulukko[[#This Row],[Alakategoria]]</f>
        <v>5. Laitoksella on riittävät henkilöstöresurssit ja ammattitaitoinen henkilökunta, ja varallaolo on suunniteltu</v>
      </c>
      <c r="G74" s="1" t="str">
        <f>KorjattavaaTaulukko[[#This Row],[Arviointikriteeri]]</f>
        <v>5.6 Vesihuoltolaitoksella on henkilökuntaa riittävästi, jotta omat tai ostopalvelut pystytään hoitamaan ennalta laaditun aikataulun mukaisesti (materiaalit, suunnittelu, rakentaminen, kunnossapito) ja hankkeita ei tarvitse viivyttää henkilöresurssien takia.</v>
      </c>
      <c r="H74" s="1" t="str">
        <f>KorjattavaaTaulukko[[#This Row],[Vastaus ]]</f>
        <v/>
      </c>
    </row>
    <row r="75" spans="1:8" x14ac:dyDescent="0.35">
      <c r="A75" s="1" t="str">
        <f>Kustannustehokas_ja_organisoitu!I11</f>
        <v>Ei kuulu</v>
      </c>
      <c r="B75" s="1" t="str">
        <f>Kustannustehokas_ja_organisoitu!P11</f>
        <v/>
      </c>
      <c r="C75" s="163" t="str">
        <f t="shared" si="2"/>
        <v>Ei</v>
      </c>
      <c r="D75" s="1" t="str">
        <f>KorjattavaaTaulukko[[#This Row],[Huoltovarmuuskriteeri]]</f>
        <v>Ei</v>
      </c>
      <c r="E75" s="1" t="str">
        <f>KorjattavaaTaulukko[[#This Row],[Pääkategoria]]</f>
        <v>Kustannustehokas ja organisoitu</v>
      </c>
      <c r="F75" s="1" t="str">
        <f>KorjattavaaTaulukko[[#This Row],[Alakategoria]]</f>
        <v>_Otsikkorivi</v>
      </c>
      <c r="G75" s="1" t="str">
        <f>KorjattavaaTaulukko[[#This Row],[Arviointikriteeri]]</f>
        <v>6. Omaisuuden hallinta, operointi ja kunnossapito on suunnitelmallista</v>
      </c>
      <c r="H75" s="1" t="str">
        <f>KorjattavaaTaulukko[[#This Row],[Vastaus ]]</f>
        <v/>
      </c>
    </row>
    <row r="76" spans="1:8" x14ac:dyDescent="0.35">
      <c r="A76" s="1" t="str">
        <f>Kustannustehokas_ja_organisoitu!I12</f>
        <v>Ei kuulu</v>
      </c>
      <c r="B76" s="1" t="str">
        <f>Kustannustehokas_ja_organisoitu!P12</f>
        <v/>
      </c>
      <c r="C76" s="163" t="str">
        <f t="shared" si="2"/>
        <v>Ei</v>
      </c>
      <c r="D76" s="1" t="str">
        <f>KorjattavaaTaulukko[[#This Row],[Huoltovarmuuskriteeri]]</f>
        <v>Ei</v>
      </c>
      <c r="E76" s="1" t="str">
        <f>KorjattavaaTaulukko[[#This Row],[Pääkategoria]]</f>
        <v>Kustannustehokas ja organisoitu</v>
      </c>
      <c r="F76" s="1" t="str">
        <f>KorjattavaaTaulukko[[#This Row],[Alakategoria]]</f>
        <v>6. Omaisuuden hallinta, operointi ja kunnossapito on suunnitelmallista</v>
      </c>
      <c r="G76" s="1" t="str">
        <f>KorjattavaaTaulukko[[#This Row],[Arviointikriteeri]]</f>
        <v>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v>
      </c>
      <c r="H76" s="1" t="str">
        <f>KorjattavaaTaulukko[[#This Row],[Vastaus ]]</f>
        <v/>
      </c>
    </row>
    <row r="77" spans="1:8" x14ac:dyDescent="0.35">
      <c r="A77" s="1" t="str">
        <f>Kustannustehokas_ja_organisoitu!I13</f>
        <v>Ei kuulu</v>
      </c>
      <c r="B77" s="1" t="str">
        <f>Kustannustehokas_ja_organisoitu!P13</f>
        <v/>
      </c>
      <c r="C77" s="163" t="str">
        <f t="shared" si="2"/>
        <v>Ei</v>
      </c>
      <c r="D77" s="1" t="str">
        <f>KorjattavaaTaulukko[[#This Row],[Huoltovarmuuskriteeri]]</f>
        <v>Ei</v>
      </c>
      <c r="E77" s="1" t="str">
        <f>KorjattavaaTaulukko[[#This Row],[Pääkategoria]]</f>
        <v>Kustannustehokas ja organisoitu</v>
      </c>
      <c r="F77" s="1" t="str">
        <f>KorjattavaaTaulukko[[#This Row],[Alakategoria]]</f>
        <v>6. Omaisuuden hallinta, operointi ja kunnossapito on suunnitelmallista</v>
      </c>
      <c r="G77" s="1" t="str">
        <f>KorjattavaaTaulukko[[#This Row],[Arviointikriteeri]]</f>
        <v>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v>
      </c>
      <c r="H77" s="1" t="str">
        <f>KorjattavaaTaulukko[[#This Row],[Vastaus ]]</f>
        <v/>
      </c>
    </row>
    <row r="78" spans="1:8" x14ac:dyDescent="0.35">
      <c r="A78" s="1" t="str">
        <f>Kustannustehokas_ja_organisoitu!I14</f>
        <v>Ei kuulu</v>
      </c>
      <c r="B78" s="1" t="str">
        <f>Kustannustehokas_ja_organisoitu!P14</f>
        <v/>
      </c>
      <c r="C78" s="163" t="str">
        <f t="shared" si="2"/>
        <v>Ei</v>
      </c>
      <c r="D78" s="1" t="str">
        <f>KorjattavaaTaulukko[[#This Row],[Huoltovarmuuskriteeri]]</f>
        <v>Ei</v>
      </c>
      <c r="E78" s="1" t="str">
        <f>KorjattavaaTaulukko[[#This Row],[Pääkategoria]]</f>
        <v>Kustannustehokas ja organisoitu</v>
      </c>
      <c r="F78" s="1" t="str">
        <f>KorjattavaaTaulukko[[#This Row],[Alakategoria]]</f>
        <v>6. Omaisuuden hallinta, operointi ja kunnossapito on suunnitelmallista</v>
      </c>
      <c r="G78" s="1" t="str">
        <f>KorjattavaaTaulukko[[#This Row],[Arviointikriteeri]]</f>
        <v>6.2 Vesihuoltolaitoksen laitosten ja verkostojen automaatiojärjestelmistä kerätään luotettavaa tietoa sähköiseen muotoon.</v>
      </c>
      <c r="H78" s="1" t="str">
        <f>KorjattavaaTaulukko[[#This Row],[Vastaus ]]</f>
        <v/>
      </c>
    </row>
    <row r="79" spans="1:8" x14ac:dyDescent="0.35">
      <c r="A79" s="1" t="str">
        <f>Kustannustehokas_ja_organisoitu!I15</f>
        <v>Ei kuulu</v>
      </c>
      <c r="B79" s="1" t="str">
        <f>Kustannustehokas_ja_organisoitu!P15</f>
        <v/>
      </c>
      <c r="C79" s="163" t="str">
        <f t="shared" si="2"/>
        <v>Ei</v>
      </c>
      <c r="D79" s="1" t="str">
        <f>KorjattavaaTaulukko[[#This Row],[Huoltovarmuuskriteeri]]</f>
        <v>Ei</v>
      </c>
      <c r="E79" s="1" t="str">
        <f>KorjattavaaTaulukko[[#This Row],[Pääkategoria]]</f>
        <v>Kustannustehokas ja organisoitu</v>
      </c>
      <c r="F79" s="1" t="str">
        <f>KorjattavaaTaulukko[[#This Row],[Alakategoria]]</f>
        <v>6. Omaisuuden hallinta, operointi ja kunnossapito on suunnitelmallista</v>
      </c>
      <c r="G79" s="1" t="str">
        <f>KorjattavaaTaulukko[[#This Row],[Arviointikriteeri]]</f>
        <v>6.2 Vesihuoltolaitoksen laitoksen ja verkostojen automaatiojärjestelmistä saadaan ja kerätään jatkuvaa, ajantasaista ja luotettavaa tietoa sähköiseen muotoon.</v>
      </c>
      <c r="H79" s="1" t="str">
        <f>KorjattavaaTaulukko[[#This Row],[Vastaus ]]</f>
        <v/>
      </c>
    </row>
    <row r="80" spans="1:8" x14ac:dyDescent="0.35">
      <c r="A80" s="1" t="str">
        <f>Kustannustehokas_ja_organisoitu!I16</f>
        <v>Ei kuulu</v>
      </c>
      <c r="B80" s="1" t="str">
        <f>Kustannustehokas_ja_organisoitu!P16</f>
        <v/>
      </c>
      <c r="C80" s="163" t="str">
        <f t="shared" si="2"/>
        <v>Ei</v>
      </c>
      <c r="D80" s="1" t="str">
        <f>KorjattavaaTaulukko[[#This Row],[Huoltovarmuuskriteeri]]</f>
        <v>Kyllä</v>
      </c>
      <c r="E80" s="1" t="str">
        <f>KorjattavaaTaulukko[[#This Row],[Pääkategoria]]</f>
        <v>Kustannustehokas ja organisoitu</v>
      </c>
      <c r="F80" s="1" t="str">
        <f>KorjattavaaTaulukko[[#This Row],[Alakategoria]]</f>
        <v>6. Omaisuuden hallinta, operointi ja kunnossapito on suunnitelmallista</v>
      </c>
      <c r="G80" s="1" t="str">
        <f>KorjattavaaTaulukko[[#This Row],[Arviointikriteeri]]</f>
        <v>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v>
      </c>
      <c r="H80" s="1" t="str">
        <f>KorjattavaaTaulukko[[#This Row],[Vastaus ]]</f>
        <v/>
      </c>
    </row>
    <row r="81" spans="1:8" x14ac:dyDescent="0.35">
      <c r="A81" s="1" t="str">
        <f>Kustannustehokas_ja_organisoitu!I17</f>
        <v>Ei kuulu</v>
      </c>
      <c r="B81" s="1" t="str">
        <f>Kustannustehokas_ja_organisoitu!P17</f>
        <v/>
      </c>
      <c r="C81" s="163" t="str">
        <f t="shared" si="2"/>
        <v>Ei</v>
      </c>
      <c r="D81" s="1" t="str">
        <f>KorjattavaaTaulukko[[#This Row],[Huoltovarmuuskriteeri]]</f>
        <v>Ei</v>
      </c>
      <c r="E81" s="1" t="str">
        <f>KorjattavaaTaulukko[[#This Row],[Pääkategoria]]</f>
        <v>Kustannustehokas ja organisoitu</v>
      </c>
      <c r="F81" s="1" t="str">
        <f>KorjattavaaTaulukko[[#This Row],[Alakategoria]]</f>
        <v>6. Omaisuuden hallinta, operointi ja kunnossapito on suunnitelmallista</v>
      </c>
      <c r="G81" s="1" t="str">
        <f>KorjattavaaTaulukko[[#This Row],[Arviointikriteeri]]</f>
        <v>6.4 Vesihuoltolaitos on määrittänyt toiminnalleen KPI-mittarit (key performance indicator), joita seurataan.</v>
      </c>
      <c r="H81" s="1" t="str">
        <f>KorjattavaaTaulukko[[#This Row],[Vastaus ]]</f>
        <v/>
      </c>
    </row>
    <row r="82" spans="1:8" x14ac:dyDescent="0.35">
      <c r="A82" s="1" t="str">
        <f>Kustannustehokas_ja_organisoitu!I18</f>
        <v>Ei kuulu</v>
      </c>
      <c r="B82" s="1" t="str">
        <f>Kustannustehokas_ja_organisoitu!P18</f>
        <v/>
      </c>
      <c r="C82" s="163" t="str">
        <f t="shared" si="2"/>
        <v>Ei</v>
      </c>
      <c r="D82" s="1" t="str">
        <f>KorjattavaaTaulukko[[#This Row],[Huoltovarmuuskriteeri]]</f>
        <v>Ei</v>
      </c>
      <c r="E82" s="1" t="str">
        <f>KorjattavaaTaulukko[[#This Row],[Pääkategoria]]</f>
        <v>Kustannustehokas ja organisoitu</v>
      </c>
      <c r="F82" s="1" t="str">
        <f>KorjattavaaTaulukko[[#This Row],[Alakategoria]]</f>
        <v>6. Omaisuuden hallinta, operointi ja kunnossapito on suunnitelmallista</v>
      </c>
      <c r="G82" s="1" t="str">
        <f>KorjattavaaTaulukko[[#This Row],[Arviointikriteeri]]</f>
        <v>6.5 Vesihuoltolaitoksen laitoksista ja verkostoista kerätään järjestelmällisesti tietoa suunnittelun, rakentamisen, saneerauksen ja kunnossapidon osalta.</v>
      </c>
      <c r="H82" s="1" t="str">
        <f>KorjattavaaTaulukko[[#This Row],[Vastaus ]]</f>
        <v/>
      </c>
    </row>
    <row r="83" spans="1:8" x14ac:dyDescent="0.35">
      <c r="A83" s="1" t="str">
        <f>Kustannustehokas_ja_organisoitu!I19</f>
        <v>Ei kuulu</v>
      </c>
      <c r="B83" s="1" t="str">
        <f>Kustannustehokas_ja_organisoitu!P19</f>
        <v/>
      </c>
      <c r="C83" s="163" t="str">
        <f t="shared" si="2"/>
        <v>Ei</v>
      </c>
      <c r="D83" s="1" t="str">
        <f>KorjattavaaTaulukko[[#This Row],[Huoltovarmuuskriteeri]]</f>
        <v>Ei</v>
      </c>
      <c r="E83" s="1" t="str">
        <f>KorjattavaaTaulukko[[#This Row],[Pääkategoria]]</f>
        <v>Kustannustehokas ja organisoitu</v>
      </c>
      <c r="F83" s="1" t="str">
        <f>KorjattavaaTaulukko[[#This Row],[Alakategoria]]</f>
        <v>6. Omaisuuden hallinta, operointi ja kunnossapito on suunnitelmallista</v>
      </c>
      <c r="G83" s="1" t="str">
        <f>KorjattavaaTaulukko[[#This Row],[Arviointikriteeri]]</f>
        <v>6.6 Vesihuoltolaitos käyttää sähköistä kunnossapitojärjestelmää.</v>
      </c>
      <c r="H83" s="1" t="str">
        <f>KorjattavaaTaulukko[[#This Row],[Vastaus ]]</f>
        <v/>
      </c>
    </row>
    <row r="84" spans="1:8" x14ac:dyDescent="0.35">
      <c r="A84" s="1" t="str">
        <f>Kustannustehokas_ja_organisoitu!I20</f>
        <v>Ei kuulu</v>
      </c>
      <c r="B84" s="1" t="str">
        <f>Kustannustehokas_ja_organisoitu!P20</f>
        <v/>
      </c>
      <c r="C84" s="163" t="str">
        <f t="shared" si="2"/>
        <v>Ei</v>
      </c>
      <c r="D84" s="1" t="str">
        <f>KorjattavaaTaulukko[[#This Row],[Huoltovarmuuskriteeri]]</f>
        <v>Ei</v>
      </c>
      <c r="E84" s="1" t="str">
        <f>KorjattavaaTaulukko[[#This Row],[Pääkategoria]]</f>
        <v>Kustannustehokas ja organisoitu</v>
      </c>
      <c r="F84" s="1" t="str">
        <f>KorjattavaaTaulukko[[#This Row],[Alakategoria]]</f>
        <v>6. Omaisuuden hallinta, operointi ja kunnossapito on suunnitelmallista</v>
      </c>
      <c r="G84" s="1" t="str">
        <f>KorjattavaaTaulukko[[#This Row],[Arviointikriteeri]]</f>
        <v xml:space="preserve">6.7 Vesihuoltolaitoksen vedenjakeluverkoston vuotoja mitataan ja seurataan ja vuotavuusprosentti on määritelty verkostoalueittain. </v>
      </c>
      <c r="H84" s="1" t="str">
        <f>KorjattavaaTaulukko[[#This Row],[Vastaus ]]</f>
        <v/>
      </c>
    </row>
    <row r="85" spans="1:8" x14ac:dyDescent="0.35">
      <c r="A85" s="1" t="str">
        <f>Kustannustehokas_ja_organisoitu!I21</f>
        <v>Ei kuulu</v>
      </c>
      <c r="B85" s="1" t="str">
        <f>Kustannustehokas_ja_organisoitu!P21</f>
        <v/>
      </c>
      <c r="C85" s="163" t="str">
        <f t="shared" si="2"/>
        <v>Ei</v>
      </c>
      <c r="D85" s="1" t="str">
        <f>KorjattavaaTaulukko[[#This Row],[Huoltovarmuuskriteeri]]</f>
        <v>Ei</v>
      </c>
      <c r="E85" s="1" t="str">
        <f>KorjattavaaTaulukko[[#This Row],[Pääkategoria]]</f>
        <v>Kustannustehokas ja organisoitu</v>
      </c>
      <c r="F85" s="1" t="str">
        <f>KorjattavaaTaulukko[[#This Row],[Alakategoria]]</f>
        <v>6. Omaisuuden hallinta, operointi ja kunnossapito on suunnitelmallista</v>
      </c>
      <c r="G85" s="1" t="str">
        <f>KorjattavaaTaulukko[[#This Row],[Arviointikriteeri]]</f>
        <v>6.8 Vesihuoltolaitoksella on pitkän aikavälin omaisuudenhallintasuunnitelma (20 v).</v>
      </c>
      <c r="H85" s="1" t="str">
        <f>KorjattavaaTaulukko[[#This Row],[Vastaus ]]</f>
        <v/>
      </c>
    </row>
    <row r="86" spans="1:8" x14ac:dyDescent="0.35">
      <c r="A86" s="1" t="str">
        <f>Kustannustehokas_ja_organisoitu!I22</f>
        <v>Ei kuulu</v>
      </c>
      <c r="B86" s="1" t="str">
        <f>Kustannustehokas_ja_organisoitu!P22</f>
        <v/>
      </c>
      <c r="C86" s="163" t="str">
        <f t="shared" si="2"/>
        <v>Ei</v>
      </c>
      <c r="D86" s="1" t="str">
        <f>KorjattavaaTaulukko[[#This Row],[Huoltovarmuuskriteeri]]</f>
        <v>Ei</v>
      </c>
      <c r="E86" s="1" t="str">
        <f>KorjattavaaTaulukko[[#This Row],[Pääkategoria]]</f>
        <v>Kustannustehokas ja organisoitu</v>
      </c>
      <c r="F86" s="1" t="str">
        <f>KorjattavaaTaulukko[[#This Row],[Alakategoria]]</f>
        <v>6. Omaisuuden hallinta, operointi ja kunnossapito on suunnitelmallista</v>
      </c>
      <c r="G86" s="1" t="str">
        <f>KorjattavaaTaulukko[[#This Row],[Arviointikriteeri]]</f>
        <v>6.9 Vesihuoltolaitoksella on käytössä auditoitu omaisuudenhallinnan johtamisjärjestelmä (esim. ISO 55000).</v>
      </c>
      <c r="H86" s="1" t="str">
        <f>KorjattavaaTaulukko[[#This Row],[Vastaus ]]</f>
        <v/>
      </c>
    </row>
    <row r="87" spans="1:8" x14ac:dyDescent="0.35">
      <c r="A87" s="1" t="str">
        <f>Kustannustehokas_ja_organisoitu!I23</f>
        <v>Ei kuulu</v>
      </c>
      <c r="B87" s="1" t="str">
        <f>Kustannustehokas_ja_organisoitu!P23</f>
        <v/>
      </c>
      <c r="C87" s="163" t="str">
        <f t="shared" si="2"/>
        <v>Ei</v>
      </c>
      <c r="D87" s="1" t="str">
        <f>KorjattavaaTaulukko[[#This Row],[Huoltovarmuuskriteeri]]</f>
        <v>Ei</v>
      </c>
      <c r="E87" s="1" t="str">
        <f>KorjattavaaTaulukko[[#This Row],[Pääkategoria]]</f>
        <v>Kustannustehokas ja organisoitu</v>
      </c>
      <c r="F87" s="1" t="str">
        <f>KorjattavaaTaulukko[[#This Row],[Alakategoria]]</f>
        <v>6. Omaisuuden hallinta, operointi ja kunnossapito on suunnitelmallista</v>
      </c>
      <c r="G87" s="1" t="str">
        <f>KorjattavaaTaulukko[[#This Row],[Arviointikriteeri]]</f>
        <v>6.10 Vesihuoltolaitoksen laitosten ja verkoston automaatiojärjestelmistä saadaan jatkuvaa, ajantasaista ja virheetöntä tietoa räätälöidysti raportoituna organisaation eri tasoille. Tietoa hyödynnetään päätöksenteossa.</v>
      </c>
      <c r="H87" s="1" t="str">
        <f>KorjattavaaTaulukko[[#This Row],[Vastaus ]]</f>
        <v/>
      </c>
    </row>
    <row r="88" spans="1:8" x14ac:dyDescent="0.35">
      <c r="A88" s="1" t="str">
        <f>Kustannustehokas_ja_organisoitu!I24</f>
        <v>Ei kuulu</v>
      </c>
      <c r="B88" s="1" t="str">
        <f>Kustannustehokas_ja_organisoitu!P24</f>
        <v/>
      </c>
      <c r="C88" s="163" t="str">
        <f t="shared" si="2"/>
        <v>Ei</v>
      </c>
      <c r="D88" s="1" t="str">
        <f>KorjattavaaTaulukko[[#This Row],[Huoltovarmuuskriteeri]]</f>
        <v>Ei</v>
      </c>
      <c r="E88" s="1" t="str">
        <f>KorjattavaaTaulukko[[#This Row],[Pääkategoria]]</f>
        <v>Kustannustehokas ja organisoitu</v>
      </c>
      <c r="F88" s="1" t="str">
        <f>KorjattavaaTaulukko[[#This Row],[Alakategoria]]</f>
        <v>_Otsikkorivi</v>
      </c>
      <c r="G88" s="1" t="str">
        <f>KorjattavaaTaulukko[[#This Row],[Arviointikriteeri]]</f>
        <v>7. Johtaminen on suunniteltua ja toiminta on kannattavaa</v>
      </c>
      <c r="H88" s="1" t="str">
        <f>KorjattavaaTaulukko[[#This Row],[Vastaus ]]</f>
        <v/>
      </c>
    </row>
    <row r="89" spans="1:8" x14ac:dyDescent="0.35">
      <c r="A89" s="1" t="str">
        <f>Kustannustehokas_ja_organisoitu!I25</f>
        <v>Ei kuulu</v>
      </c>
      <c r="B89" s="1" t="str">
        <f>Kustannustehokas_ja_organisoitu!P25</f>
        <v/>
      </c>
      <c r="C89" s="163" t="str">
        <f t="shared" si="2"/>
        <v>Ei</v>
      </c>
      <c r="D89" s="1" t="str">
        <f>KorjattavaaTaulukko[[#This Row],[Huoltovarmuuskriteeri]]</f>
        <v>Ei</v>
      </c>
      <c r="E89" s="1" t="str">
        <f>KorjattavaaTaulukko[[#This Row],[Pääkategoria]]</f>
        <v>Kustannustehokas ja organisoitu</v>
      </c>
      <c r="F89" s="1" t="str">
        <f>KorjattavaaTaulukko[[#This Row],[Alakategoria]]</f>
        <v>7. Johtaminen on suunniteltua ja toiminta on kannattavaa</v>
      </c>
      <c r="G89" s="1" t="str">
        <f>KorjattavaaTaulukko[[#This Row],[Arviointikriteeri]]</f>
        <v>7.1 Vesihuoltolaitoksella on selkeä kulut ja tuotot erittelevä taloushallintajärjestelmä tai vastaava pienille laitoksille soveltuva järjestelmä luokan 1 laitoksille.</v>
      </c>
      <c r="H89" s="1" t="str">
        <f>KorjattavaaTaulukko[[#This Row],[Vastaus ]]</f>
        <v/>
      </c>
    </row>
    <row r="90" spans="1:8" x14ac:dyDescent="0.35">
      <c r="A90" s="1" t="str">
        <f>Kustannustehokas_ja_organisoitu!I26</f>
        <v>Ei kuulu</v>
      </c>
      <c r="B90" s="1" t="str">
        <f>Kustannustehokas_ja_organisoitu!P26</f>
        <v/>
      </c>
      <c r="C90" s="163" t="str">
        <f t="shared" si="2"/>
        <v>Ei</v>
      </c>
      <c r="D90" s="1" t="str">
        <f>KorjattavaaTaulukko[[#This Row],[Huoltovarmuuskriteeri]]</f>
        <v>Kyllä</v>
      </c>
      <c r="E90" s="1" t="str">
        <f>KorjattavaaTaulukko[[#This Row],[Pääkategoria]]</f>
        <v>Kustannustehokas ja organisoitu</v>
      </c>
      <c r="F90" s="1" t="str">
        <f>KorjattavaaTaulukko[[#This Row],[Alakategoria]]</f>
        <v>7. Johtaminen on suunniteltua ja toiminta on kannattavaa</v>
      </c>
      <c r="G90" s="1" t="str">
        <f>KorjattavaaTaulukko[[#This Row],[Arviointikriteeri]]</f>
        <v>7.2 Vesihuoltolaitoksella on ajantasainen pitkän aikavälin (min. 20 v) investointiohjelma, jossa on otettu huomioon vesihuollon ja kunnan tarpeet, huomioitu vesihuollon kehittämissuunnitelma sekä toimintavarmuus.</v>
      </c>
      <c r="H90" s="1" t="str">
        <f>KorjattavaaTaulukko[[#This Row],[Vastaus ]]</f>
        <v/>
      </c>
    </row>
    <row r="91" spans="1:8" x14ac:dyDescent="0.35">
      <c r="A91" s="1" t="str">
        <f>Kustannustehokas_ja_organisoitu!I27</f>
        <v>Ei kuulu</v>
      </c>
      <c r="B91" s="1" t="str">
        <f>Kustannustehokas_ja_organisoitu!P27</f>
        <v/>
      </c>
      <c r="C91" s="163" t="str">
        <f t="shared" si="2"/>
        <v>Ei</v>
      </c>
      <c r="D91" s="1" t="str">
        <f>KorjattavaaTaulukko[[#This Row],[Huoltovarmuuskriteeri]]</f>
        <v>Kyllä</v>
      </c>
      <c r="E91" s="1" t="str">
        <f>KorjattavaaTaulukko[[#This Row],[Pääkategoria]]</f>
        <v>Kustannustehokas ja organisoitu</v>
      </c>
      <c r="F91" s="1" t="str">
        <f>KorjattavaaTaulukko[[#This Row],[Alakategoria]]</f>
        <v>7. Johtaminen on suunniteltua ja toiminta on kannattavaa</v>
      </c>
      <c r="G91" s="1" t="str">
        <f>KorjattavaaTaulukko[[#This Row],[Arviointikriteeri]]</f>
        <v>7.3 Vesihuoltolaitoksen perimät maksut ovat sellaiset, että pitkällä aikavälillä (20 v.) voidaan kattaa vesihuoltolaitoksen suunnitellut uus- ja korjausinvestoinnit ja käyttökustannukset.</v>
      </c>
      <c r="H91" s="1" t="str">
        <f>KorjattavaaTaulukko[[#This Row],[Vastaus ]]</f>
        <v/>
      </c>
    </row>
    <row r="92" spans="1:8" x14ac:dyDescent="0.35">
      <c r="A92" s="1" t="str">
        <f>Kustannustehokas_ja_organisoitu!I28</f>
        <v>Ei kuulu</v>
      </c>
      <c r="B92" s="1" t="str">
        <f>Kustannustehokas_ja_organisoitu!P28</f>
        <v/>
      </c>
      <c r="C92" s="163" t="str">
        <f t="shared" si="2"/>
        <v>Ei</v>
      </c>
      <c r="D92" s="1" t="str">
        <f>KorjattavaaTaulukko[[#This Row],[Huoltovarmuuskriteeri]]</f>
        <v>Ei</v>
      </c>
      <c r="E92" s="1" t="str">
        <f>KorjattavaaTaulukko[[#This Row],[Pääkategoria]]</f>
        <v>Kustannustehokas ja organisoitu</v>
      </c>
      <c r="F92" s="1" t="str">
        <f>KorjattavaaTaulukko[[#This Row],[Alakategoria]]</f>
        <v>7. Johtaminen on suunniteltua ja toiminta on kannattavaa</v>
      </c>
      <c r="G92" s="1" t="str">
        <f>KorjattavaaTaulukko[[#This Row],[Arviointikriteeri]]</f>
        <v>7.4 Vesihuoltolaitoksella on laadunhallintajärjestelmä tai toiminta on muuten järjestelmällistä ja kirjallisesti/sähköisesti dokumentoitua.</v>
      </c>
      <c r="H92" s="1" t="str">
        <f>KorjattavaaTaulukko[[#This Row],[Vastaus ]]</f>
        <v/>
      </c>
    </row>
    <row r="93" spans="1:8" x14ac:dyDescent="0.35">
      <c r="A93" s="1" t="str">
        <f>Kustannustehokas_ja_organisoitu!I29</f>
        <v>Ei kuulu</v>
      </c>
      <c r="B93" s="1" t="str">
        <f>Kustannustehokas_ja_organisoitu!P29</f>
        <v/>
      </c>
      <c r="C93" s="163" t="str">
        <f t="shared" si="2"/>
        <v>Ei</v>
      </c>
      <c r="D93" s="1" t="str">
        <f>KorjattavaaTaulukko[[#This Row],[Huoltovarmuuskriteeri]]</f>
        <v>Kyllä</v>
      </c>
      <c r="E93" s="1" t="str">
        <f>KorjattavaaTaulukko[[#This Row],[Pääkategoria]]</f>
        <v>Kustannustehokas ja organisoitu</v>
      </c>
      <c r="F93" s="1" t="str">
        <f>KorjattavaaTaulukko[[#This Row],[Alakategoria]]</f>
        <v>7. Johtaminen on suunniteltua ja toiminta on kannattavaa</v>
      </c>
      <c r="G93" s="1" t="str">
        <f>KorjattavaaTaulukko[[#This Row],[Arviointikriteeri]]</f>
        <v>7.5 Vesihuoltolaitoksen tietojen hallinta on suunniteltua ja järjestelmällistä (esim. tiedonhallintasuunnitelma ja järjestelmä) eli varmistetaan tietojen turvallinen luokittelu, käsittely ja säilytys.</v>
      </c>
      <c r="H93" s="1" t="str">
        <f>KorjattavaaTaulukko[[#This Row],[Vastaus ]]</f>
        <v/>
      </c>
    </row>
    <row r="94" spans="1:8" x14ac:dyDescent="0.35">
      <c r="A94" s="1" t="str">
        <f>Kustannustehokas_ja_organisoitu!I30</f>
        <v>Ei kuulu</v>
      </c>
      <c r="B94" s="1" t="str">
        <f>Kustannustehokas_ja_organisoitu!P30</f>
        <v/>
      </c>
      <c r="C94" s="163" t="str">
        <f t="shared" si="2"/>
        <v>Ei</v>
      </c>
      <c r="D94" s="1" t="str">
        <f>KorjattavaaTaulukko[[#This Row],[Huoltovarmuuskriteeri]]</f>
        <v>Ei</v>
      </c>
      <c r="E94" s="1" t="str">
        <f>KorjattavaaTaulukko[[#This Row],[Pääkategoria]]</f>
        <v>Kustannustehokas ja organisoitu</v>
      </c>
      <c r="F94" s="1" t="str">
        <f>KorjattavaaTaulukko[[#This Row],[Alakategoria]]</f>
        <v>7. Johtaminen on suunniteltua ja toiminta on kannattavaa</v>
      </c>
      <c r="G94" s="1" t="str">
        <f>KorjattavaaTaulukko[[#This Row],[Arviointikriteeri]]</f>
        <v>7.6 Vesihuoltolaitoksen toiminnasta kerätään järjestelmällisesti tietoa operatiivisen toiminnan (=päivittäisen toiminnan johtamisen) osalta.</v>
      </c>
      <c r="H94" s="1" t="str">
        <f>KorjattavaaTaulukko[[#This Row],[Vastaus ]]</f>
        <v/>
      </c>
    </row>
    <row r="95" spans="1:8" x14ac:dyDescent="0.35">
      <c r="A95" s="1" t="str">
        <f>Kustannustehokas_ja_organisoitu!I31</f>
        <v>Ei kuulu</v>
      </c>
      <c r="B95" s="1" t="str">
        <f>Kustannustehokas_ja_organisoitu!P31</f>
        <v/>
      </c>
      <c r="C95" s="163" t="str">
        <f t="shared" si="2"/>
        <v>Ei</v>
      </c>
      <c r="D95" s="1" t="str">
        <f>KorjattavaaTaulukko[[#This Row],[Huoltovarmuuskriteeri]]</f>
        <v>Ei</v>
      </c>
      <c r="E95" s="1" t="str">
        <f>KorjattavaaTaulukko[[#This Row],[Pääkategoria]]</f>
        <v>Kustannustehokas ja organisoitu</v>
      </c>
      <c r="F95" s="1" t="str">
        <f>KorjattavaaTaulukko[[#This Row],[Alakategoria]]</f>
        <v>7. Johtaminen on suunniteltua ja toiminta on kannattavaa</v>
      </c>
      <c r="G95" s="1" t="str">
        <f>KorjattavaaTaulukko[[#This Row],[Arviointikriteeri]]</f>
        <v>7.6 Vesihuoltolaitoksen operatiivisesta toiminnasta kerätään järjestelmällisesti oleellista tietoa, jota hyödynnetään johtamisessa</v>
      </c>
      <c r="H95" s="1" t="str">
        <f>KorjattavaaTaulukko[[#This Row],[Vastaus ]]</f>
        <v/>
      </c>
    </row>
    <row r="96" spans="1:8" x14ac:dyDescent="0.35">
      <c r="A96" s="1" t="str">
        <f>Kustannustehokas_ja_organisoitu!I32</f>
        <v>Ei kuulu</v>
      </c>
      <c r="B96" s="1" t="str">
        <f>Kustannustehokas_ja_organisoitu!P32</f>
        <v/>
      </c>
      <c r="C96" s="163" t="str">
        <f t="shared" si="2"/>
        <v>Ei</v>
      </c>
      <c r="D96" s="1" t="str">
        <f>KorjattavaaTaulukko[[#This Row],[Huoltovarmuuskriteeri]]</f>
        <v>Ei</v>
      </c>
      <c r="E96" s="1" t="str">
        <f>KorjattavaaTaulukko[[#This Row],[Pääkategoria]]</f>
        <v>Kustannustehokas ja organisoitu</v>
      </c>
      <c r="F96" s="1" t="str">
        <f>KorjattavaaTaulukko[[#This Row],[Alakategoria]]</f>
        <v>7. Johtaminen on suunniteltua ja toiminta on kannattavaa</v>
      </c>
      <c r="G96" s="1" t="str">
        <f>KorjattavaaTaulukko[[#This Row],[Arviointikriteeri]]</f>
        <v>7.7 Vesihuoltolaitoksella on käytössä operatiivisen toiminnan johtamisjärjestelmä (sisältää esim. vastuunjaon ja tehtäväkuvaukset) ja jatkuvan parantamisen toimintatapa.</v>
      </c>
      <c r="H96" s="1" t="str">
        <f>KorjattavaaTaulukko[[#This Row],[Vastaus ]]</f>
        <v/>
      </c>
    </row>
    <row r="97" spans="1:8" x14ac:dyDescent="0.35">
      <c r="A97" s="1" t="str">
        <f>Kustannustehokas_ja_organisoitu!I33</f>
        <v>Ei kuulu</v>
      </c>
      <c r="B97" s="1" t="str">
        <f>Kustannustehokas_ja_organisoitu!P33</f>
        <v/>
      </c>
      <c r="C97" s="163" t="str">
        <f t="shared" si="2"/>
        <v>Ei</v>
      </c>
      <c r="D97" s="1" t="str">
        <f>KorjattavaaTaulukko[[#This Row],[Huoltovarmuuskriteeri]]</f>
        <v>Ei</v>
      </c>
      <c r="E97" s="1" t="str">
        <f>KorjattavaaTaulukko[[#This Row],[Pääkategoria]]</f>
        <v>Kustannustehokas ja organisoitu</v>
      </c>
      <c r="F97" s="1" t="str">
        <f>KorjattavaaTaulukko[[#This Row],[Alakategoria]]</f>
        <v>7. Johtaminen on suunniteltua ja toiminta on kannattavaa</v>
      </c>
      <c r="G97" s="1" t="str">
        <f>KorjattavaaTaulukko[[#This Row],[Arviointikriteeri]]</f>
        <v>7.8 Vesihuoltolaitos on kartoittanut tarpeen erisuuruisille perus- ja liittymismaksuille eri alueilla ja ottanut ne käyttöön niiden soveltuessa.</v>
      </c>
      <c r="H97" s="1" t="str">
        <f>KorjattavaaTaulukko[[#This Row],[Vastaus ]]</f>
        <v/>
      </c>
    </row>
    <row r="98" spans="1:8" x14ac:dyDescent="0.35">
      <c r="A98" s="1" t="str">
        <f>Kustannustehokas_ja_organisoitu!I34</f>
        <v>Ei kuulu</v>
      </c>
      <c r="B98" s="1" t="str">
        <f>Kustannustehokas_ja_organisoitu!P34</f>
        <v/>
      </c>
      <c r="C98" s="163" t="str">
        <f t="shared" si="2"/>
        <v>Ei</v>
      </c>
      <c r="D98" s="1" t="str">
        <f>KorjattavaaTaulukko[[#This Row],[Huoltovarmuuskriteeri]]</f>
        <v>Ei</v>
      </c>
      <c r="E98" s="1" t="str">
        <f>KorjattavaaTaulukko[[#This Row],[Pääkategoria]]</f>
        <v>Kustannustehokas ja organisoitu</v>
      </c>
      <c r="F98" s="1" t="str">
        <f>KorjattavaaTaulukko[[#This Row],[Alakategoria]]</f>
        <v>7. Johtaminen on suunniteltua ja toiminta on kannattavaa</v>
      </c>
      <c r="G98" s="1" t="str">
        <f>KorjattavaaTaulukko[[#This Row],[Arviointikriteeri]]</f>
        <v>7.9 Vesihuoltolaitoksen henkilöstöllä ja johdolla on tulostavoitteet ja tulosmittarit tai muu määritelty ja mitattava ajuri, jota seurataan ja hyödynnetään toiminnan kehittämisessä.</v>
      </c>
      <c r="H98" s="1" t="str">
        <f>KorjattavaaTaulukko[[#This Row],[Vastaus ]]</f>
        <v/>
      </c>
    </row>
    <row r="99" spans="1:8" x14ac:dyDescent="0.35">
      <c r="A99" s="1" t="str">
        <f>Kustannustehokas_ja_organisoitu!I35</f>
        <v>Ei kuulu</v>
      </c>
      <c r="B99" s="1" t="str">
        <f>Kustannustehokas_ja_organisoitu!P35</f>
        <v/>
      </c>
      <c r="C99" s="163" t="str">
        <f t="shared" si="2"/>
        <v>Ei</v>
      </c>
      <c r="D99" s="1" t="str">
        <f>KorjattavaaTaulukko[[#This Row],[Huoltovarmuuskriteeri]]</f>
        <v>Ei</v>
      </c>
      <c r="E99" s="1" t="str">
        <f>KorjattavaaTaulukko[[#This Row],[Pääkategoria]]</f>
        <v>Kustannustehokas ja organisoitu</v>
      </c>
      <c r="F99" s="1" t="str">
        <f>KorjattavaaTaulukko[[#This Row],[Alakategoria]]</f>
        <v>7. Johtaminen on suunniteltua ja toiminta on kannattavaa</v>
      </c>
      <c r="G99" s="1" t="str">
        <f>KorjattavaaTaulukko[[#This Row],[Arviointikriteeri]]</f>
        <v>7.10 Vesihuoltolaitoksella on käytössä auditoidut ISO 9001-laatujärjestelmä sekä ISO 14001 -ympäristöjärjestelmä tai muu vastaava järjestelmä.</v>
      </c>
      <c r="H99" s="1" t="str">
        <f>KorjattavaaTaulukko[[#This Row],[Vastaus ]]</f>
        <v/>
      </c>
    </row>
    <row r="100" spans="1:8" x14ac:dyDescent="0.35">
      <c r="A100" s="1" t="str">
        <f>Kustannustehokas_ja_organisoitu!I36</f>
        <v>Ei kuulu</v>
      </c>
      <c r="B100" s="1" t="str">
        <f>Kustannustehokas_ja_organisoitu!P36</f>
        <v/>
      </c>
      <c r="C100" s="163" t="str">
        <f t="shared" si="2"/>
        <v>Ei</v>
      </c>
      <c r="D100" s="1" t="str">
        <f>KorjattavaaTaulukko[[#This Row],[Huoltovarmuuskriteeri]]</f>
        <v>Ei</v>
      </c>
      <c r="E100" s="1" t="str">
        <f>KorjattavaaTaulukko[[#This Row],[Pääkategoria]]</f>
        <v>Kustannustehokas ja organisoitu</v>
      </c>
      <c r="F100" s="1" t="str">
        <f>KorjattavaaTaulukko[[#This Row],[Alakategoria]]</f>
        <v>7. Johtaminen on suunniteltua ja toiminta on kannattavaa</v>
      </c>
      <c r="G100" s="1" t="str">
        <f>KorjattavaaTaulukko[[#This Row],[Arviointikriteeri]]</f>
        <v>7.11 Vesihuoltolaitoksella on käytössä auditoitu ISO 45001 työterveys- ja turvallisuusjärjestelmä tai muu vastaava.</v>
      </c>
      <c r="H100" s="1" t="str">
        <f>KorjattavaaTaulukko[[#This Row],[Vastaus ]]</f>
        <v/>
      </c>
    </row>
    <row r="101" spans="1:8" x14ac:dyDescent="0.35">
      <c r="A101" s="1" t="str">
        <f>Kustannustehokas_ja_organisoitu!I37</f>
        <v>Ei kuulu</v>
      </c>
      <c r="B101" s="1" t="str">
        <f>Kustannustehokas_ja_organisoitu!P37</f>
        <v/>
      </c>
      <c r="C101" s="163" t="str">
        <f t="shared" si="2"/>
        <v>Ei</v>
      </c>
      <c r="D101" s="1" t="str">
        <f>KorjattavaaTaulukko[[#This Row],[Huoltovarmuuskriteeri]]</f>
        <v>Ei</v>
      </c>
      <c r="E101" s="1" t="str">
        <f>KorjattavaaTaulukko[[#This Row],[Pääkategoria]]</f>
        <v>Kustannustehokas ja organisoitu</v>
      </c>
      <c r="F101" s="1" t="str">
        <f>KorjattavaaTaulukko[[#This Row],[Alakategoria]]</f>
        <v>_Otsikkorivi</v>
      </c>
      <c r="G101" s="1" t="str">
        <f>KorjattavaaTaulukko[[#This Row],[Arviointikriteeri]]</f>
        <v>8. Käyttötalouden hallinta ja hankinnat ovat suunniteltuja, tehostettuja ja läpinäkyviä.</v>
      </c>
      <c r="H101" s="1" t="str">
        <f>KorjattavaaTaulukko[[#This Row],[Vastaus ]]</f>
        <v/>
      </c>
    </row>
    <row r="102" spans="1:8" x14ac:dyDescent="0.35">
      <c r="A102" s="1" t="str">
        <f>Kustannustehokas_ja_organisoitu!I38</f>
        <v>Ei kuulu</v>
      </c>
      <c r="B102" s="1" t="str">
        <f>Kustannustehokas_ja_organisoitu!P38</f>
        <v/>
      </c>
      <c r="C102" s="163" t="str">
        <f t="shared" si="2"/>
        <v>Ei</v>
      </c>
      <c r="D102" s="1" t="str">
        <f>KorjattavaaTaulukko[[#This Row],[Huoltovarmuuskriteeri]]</f>
        <v>Ei</v>
      </c>
      <c r="E102" s="1" t="str">
        <f>KorjattavaaTaulukko[[#This Row],[Pääkategoria]]</f>
        <v>Kustannustehokas ja organisoitu</v>
      </c>
      <c r="F102" s="1" t="str">
        <f>KorjattavaaTaulukko[[#This Row],[Alakategoria]]</f>
        <v>8. Käyttötalouden hallinta ja hankinnat ovat suunniteltuja, tehostettuja ja läpinäkyviä.</v>
      </c>
      <c r="G102" s="1" t="str">
        <f>KorjattavaaTaulukko[[#This Row],[Arviointikriteeri]]</f>
        <v>8.1 Vesihuoltolaitoksen hyödykkeiden kulutusta seurataan. Hyödykkeellä tarkoitetaan vesilaitoksen toiminnassaan käyttämiä aineita, tarvikkeita tai palveluita, kuten esim. kemikaaleja, sähköä, rakentamispalvelua tms.</v>
      </c>
      <c r="H102" s="1" t="str">
        <f>KorjattavaaTaulukko[[#This Row],[Vastaus ]]</f>
        <v/>
      </c>
    </row>
    <row r="103" spans="1:8" x14ac:dyDescent="0.35">
      <c r="A103" s="1" t="str">
        <f>Kustannustehokas_ja_organisoitu!I39</f>
        <v>Ei kuulu</v>
      </c>
      <c r="B103" s="1" t="str">
        <f>Kustannustehokas_ja_organisoitu!P39</f>
        <v/>
      </c>
      <c r="C103" s="163" t="str">
        <f t="shared" si="2"/>
        <v>Ei</v>
      </c>
      <c r="D103" s="1" t="str">
        <f>KorjattavaaTaulukko[[#This Row],[Huoltovarmuuskriteeri]]</f>
        <v>Ei</v>
      </c>
      <c r="E103" s="1" t="str">
        <f>KorjattavaaTaulukko[[#This Row],[Pääkategoria]]</f>
        <v>Kustannustehokas ja organisoitu</v>
      </c>
      <c r="F103" s="1" t="str">
        <f>KorjattavaaTaulukko[[#This Row],[Alakategoria]]</f>
        <v>8. Käyttötalouden hallinta ja hankinnat ovat suunniteltuja, tehostettuja ja läpinäkyviä.</v>
      </c>
      <c r="G103" s="1" t="str">
        <f>KorjattavaaTaulukko[[#This Row],[Arviointikriteeri]]</f>
        <v xml:space="preserve">8.2 Vesihuoltolaitoksen kustannuksia seurataan ja käyttötaloutta tehostetaan aktiivisesti. </v>
      </c>
      <c r="H103" s="1" t="str">
        <f>KorjattavaaTaulukko[[#This Row],[Vastaus ]]</f>
        <v/>
      </c>
    </row>
    <row r="104" spans="1:8" x14ac:dyDescent="0.35">
      <c r="A104" s="1" t="str">
        <f>Kustannustehokas_ja_organisoitu!I40</f>
        <v>Ei kuulu</v>
      </c>
      <c r="B104" s="1" t="str">
        <f>Kustannustehokas_ja_organisoitu!P40</f>
        <v/>
      </c>
      <c r="C104" s="163" t="str">
        <f t="shared" si="2"/>
        <v>Ei</v>
      </c>
      <c r="D104" s="1" t="str">
        <f>KorjattavaaTaulukko[[#This Row],[Huoltovarmuuskriteeri]]</f>
        <v>Ei</v>
      </c>
      <c r="E104" s="1" t="str">
        <f>KorjattavaaTaulukko[[#This Row],[Pääkategoria]]</f>
        <v>Kustannustehokas ja organisoitu</v>
      </c>
      <c r="F104" s="1" t="str">
        <f>KorjattavaaTaulukko[[#This Row],[Alakategoria]]</f>
        <v>8. Käyttötalouden hallinta ja hankinnat ovat suunniteltuja, tehostettuja ja läpinäkyviä.</v>
      </c>
      <c r="G104" s="1" t="str">
        <f>KorjattavaaTaulukko[[#This Row],[Arviointikriteeri]]</f>
        <v xml:space="preserve">8.3 Vesihuoltolaitoksella tai kunnalla on vesihuoltolaitosta koskevat hankintaohjeet. Hankinnoissa otetaan tarkoituksenmukaisesti huomioon laatu- ja hintakriteerit. </v>
      </c>
      <c r="H104" s="1" t="str">
        <f>KorjattavaaTaulukko[[#This Row],[Vastaus ]]</f>
        <v/>
      </c>
    </row>
    <row r="105" spans="1:8" x14ac:dyDescent="0.35">
      <c r="A105" s="1" t="str">
        <f>Kustannustehokas_ja_organisoitu!I41</f>
        <v>Ei kuulu</v>
      </c>
      <c r="B105" s="1" t="str">
        <f>Kustannustehokas_ja_organisoitu!P41</f>
        <v/>
      </c>
      <c r="C105" s="163" t="str">
        <f t="shared" si="2"/>
        <v>Ei</v>
      </c>
      <c r="D105" s="1" t="str">
        <f>KorjattavaaTaulukko[[#This Row],[Huoltovarmuuskriteeri]]</f>
        <v>Ei</v>
      </c>
      <c r="E105" s="1" t="str">
        <f>KorjattavaaTaulukko[[#This Row],[Pääkategoria]]</f>
        <v>Kustannustehokas ja organisoitu</v>
      </c>
      <c r="F105" s="1" t="str">
        <f>KorjattavaaTaulukko[[#This Row],[Alakategoria]]</f>
        <v>8. Käyttötalouden hallinta ja hankinnat ovat suunniteltuja, tehostettuja ja läpinäkyviä.</v>
      </c>
      <c r="G105" s="1" t="str">
        <f>KorjattavaaTaulukko[[#This Row],[Arviointikriteeri]]</f>
        <v>8.4 Vesihuoltolaitoksen henkilöstö on saanut koulutusta hankintojen ja palvelujen kilpailutukseen ja sopimuksiin sekä palvelujen ja toimitusten valvontaan.</v>
      </c>
      <c r="H105" s="1" t="str">
        <f>KorjattavaaTaulukko[[#This Row],[Vastaus ]]</f>
        <v/>
      </c>
    </row>
    <row r="106" spans="1:8" x14ac:dyDescent="0.35">
      <c r="A106" s="1" t="str">
        <f>Kustannustehokas_ja_organisoitu!I42</f>
        <v>Ei kuulu</v>
      </c>
      <c r="B106" s="1" t="str">
        <f>Kustannustehokas_ja_organisoitu!P42</f>
        <v/>
      </c>
      <c r="C106" s="163" t="str">
        <f t="shared" si="2"/>
        <v>Ei</v>
      </c>
      <c r="D106" s="1" t="str">
        <f>KorjattavaaTaulukko[[#This Row],[Huoltovarmuuskriteeri]]</f>
        <v>Ei</v>
      </c>
      <c r="E106" s="1" t="str">
        <f>KorjattavaaTaulukko[[#This Row],[Pääkategoria]]</f>
        <v>Kustannustehokas ja organisoitu</v>
      </c>
      <c r="F106" s="1" t="str">
        <f>KorjattavaaTaulukko[[#This Row],[Alakategoria]]</f>
        <v>8. Käyttötalouden hallinta ja hankinnat ovat suunniteltuja, tehostettuja ja läpinäkyviä.</v>
      </c>
      <c r="G106" s="1" t="str">
        <f>KorjattavaaTaulukko[[#This Row],[Arviointikriteeri]]</f>
        <v xml:space="preserve">8.5 Vesihuoltolaitoksella on puitesopimukset keskeisten tavaroiden ja palveluiden hankinnan osalta. </v>
      </c>
      <c r="H106" s="1" t="str">
        <f>KorjattavaaTaulukko[[#This Row],[Vastaus ]]</f>
        <v/>
      </c>
    </row>
    <row r="107" spans="1:8" x14ac:dyDescent="0.35">
      <c r="A107" s="1" t="str">
        <f>Kustannustehokas_ja_organisoitu!I43</f>
        <v>Ei kuulu</v>
      </c>
      <c r="B107" s="1" t="str">
        <f>Kustannustehokas_ja_organisoitu!P43</f>
        <v/>
      </c>
      <c r="C107" s="163" t="str">
        <f t="shared" si="2"/>
        <v>Ei</v>
      </c>
      <c r="D107" s="1" t="str">
        <f>KorjattavaaTaulukko[[#This Row],[Huoltovarmuuskriteeri]]</f>
        <v>Ei</v>
      </c>
      <c r="E107" s="1" t="str">
        <f>KorjattavaaTaulukko[[#This Row],[Pääkategoria]]</f>
        <v>Kustannustehokas ja organisoitu</v>
      </c>
      <c r="F107" s="1" t="str">
        <f>KorjattavaaTaulukko[[#This Row],[Alakategoria]]</f>
        <v>8. Käyttötalouden hallinta ja hankinnat ovat suunniteltuja, tehostettuja ja läpinäkyviä.</v>
      </c>
      <c r="G107" s="1" t="str">
        <f>KorjattavaaTaulukko[[#This Row],[Arviointikriteeri]]</f>
        <v>8.6 Vesihuoltolaitos kerää ja käyttää tunnuslukutietoa systemaattisesti ja vertailee toimintaansa kokoluokan ja lähialueen muihin vastaaviin toimijoihin.</v>
      </c>
      <c r="H107" s="1" t="str">
        <f>KorjattavaaTaulukko[[#This Row],[Vastaus ]]</f>
        <v/>
      </c>
    </row>
    <row r="108" spans="1:8" x14ac:dyDescent="0.35">
      <c r="A108" s="1" t="str">
        <f>Kustannustehokas_ja_organisoitu!I44</f>
        <v>Ei kuulu</v>
      </c>
      <c r="B108" s="1" t="str">
        <f>Kustannustehokas_ja_organisoitu!P44</f>
        <v/>
      </c>
      <c r="C108" s="163" t="str">
        <f t="shared" si="2"/>
        <v>Ei</v>
      </c>
      <c r="D108" s="1" t="str">
        <f>KorjattavaaTaulukko[[#This Row],[Huoltovarmuuskriteeri]]</f>
        <v>Ei</v>
      </c>
      <c r="E108" s="1" t="str">
        <f>KorjattavaaTaulukko[[#This Row],[Pääkategoria]]</f>
        <v>Kustannustehokas ja organisoitu</v>
      </c>
      <c r="F108" s="1" t="str">
        <f>KorjattavaaTaulukko[[#This Row],[Alakategoria]]</f>
        <v>8. Käyttötalouden hallinta ja hankinnat ovat suunniteltuja, tehostettuja ja läpinäkyviä.</v>
      </c>
      <c r="G108" s="1" t="str">
        <f>KorjattavaaTaulukko[[#This Row],[Arviointikriteeri]]</f>
        <v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v>
      </c>
      <c r="H108" s="1" t="str">
        <f>KorjattavaaTaulukko[[#This Row],[Vastaus ]]</f>
        <v/>
      </c>
    </row>
    <row r="109" spans="1:8" x14ac:dyDescent="0.35">
      <c r="A109" s="1" t="str">
        <f>Kustannustehokas_ja_organisoitu!I45</f>
        <v>Ei kuulu</v>
      </c>
      <c r="B109" s="1" t="str">
        <f>Kustannustehokas_ja_organisoitu!P45</f>
        <v/>
      </c>
      <c r="C109" s="163" t="str">
        <f t="shared" si="2"/>
        <v>Ei</v>
      </c>
      <c r="D109" s="1" t="str">
        <f>KorjattavaaTaulukko[[#This Row],[Huoltovarmuuskriteeri]]</f>
        <v>Ei</v>
      </c>
      <c r="E109" s="1" t="str">
        <f>KorjattavaaTaulukko[[#This Row],[Pääkategoria]]</f>
        <v>Kustannustehokas ja organisoitu</v>
      </c>
      <c r="F109" s="1" t="str">
        <f>KorjattavaaTaulukko[[#This Row],[Alakategoria]]</f>
        <v>8. Käyttötalouden hallinta ja hankinnat ovat suunniteltuja, tehostettuja ja läpinäkyviä.</v>
      </c>
      <c r="G109" s="1" t="str">
        <f>KorjattavaaTaulukko[[#This Row],[Arviointikriteeri]]</f>
        <v>8.8 Vesihuoltolaitoksen hankintakriteereihin sisältyvät sosiaalinen ja ympäristövastuullisuus</v>
      </c>
      <c r="H109" s="1" t="str">
        <f>KorjattavaaTaulukko[[#This Row],[Vastaus ]]</f>
        <v/>
      </c>
    </row>
    <row r="110" spans="1:8" x14ac:dyDescent="0.35">
      <c r="A110" s="1" t="str">
        <f>Kustannustehokas_ja_organisoitu!I46</f>
        <v>Ei kuulu</v>
      </c>
      <c r="B110" s="1" t="str">
        <f>Kustannustehokas_ja_organisoitu!P46</f>
        <v/>
      </c>
      <c r="C110" s="163" t="str">
        <f t="shared" si="2"/>
        <v>Ei</v>
      </c>
      <c r="D110" s="1" t="str">
        <f>KorjattavaaTaulukko[[#This Row],[Huoltovarmuuskriteeri]]</f>
        <v>Ei</v>
      </c>
      <c r="E110" s="1" t="str">
        <f>KorjattavaaTaulukko[[#This Row],[Pääkategoria]]</f>
        <v>Kestävä ja kehittyvä</v>
      </c>
      <c r="F110" s="1" t="str">
        <f>KorjattavaaTaulukko[[#This Row],[Alakategoria]]</f>
        <v>_Otsikkorivi</v>
      </c>
      <c r="G110" s="1" t="str">
        <f>KorjattavaaTaulukko[[#This Row],[Arviointikriteeri]]</f>
        <v>9. Jätevesien käsittelyn ja johtamisen ympäristökuormitus minimoidaan</v>
      </c>
      <c r="H110" s="1" t="str">
        <f>KorjattavaaTaulukko[[#This Row],[Vastaus ]]</f>
        <v/>
      </c>
    </row>
    <row r="111" spans="1:8" x14ac:dyDescent="0.35">
      <c r="A111" s="1" t="str">
        <f>Kestävä_ja_kehittyvä!I5</f>
        <v>Ei kuulu</v>
      </c>
      <c r="B111" s="1" t="str">
        <f>Kestävä_ja_kehittyvä!P5</f>
        <v/>
      </c>
      <c r="C111" s="163" t="str">
        <f t="shared" si="2"/>
        <v>Ei</v>
      </c>
      <c r="D111" s="1" t="str">
        <f>KorjattavaaTaulukko[[#This Row],[Huoltovarmuuskriteeri]]</f>
        <v>Kyllä</v>
      </c>
      <c r="E111" s="1" t="str">
        <f>KorjattavaaTaulukko[[#This Row],[Pääkategoria]]</f>
        <v>Kestävä ja kehittyvä</v>
      </c>
      <c r="F111" s="1" t="str">
        <f>KorjattavaaTaulukko[[#This Row],[Alakategoria]]</f>
        <v>9. Jätevesien käsittelyn ja johtamisen ympäristökuormitus minimoidaan</v>
      </c>
      <c r="G111" s="1" t="str">
        <f>KorjattavaaTaulukko[[#This Row],[Arviointikriteeri]]</f>
        <v>9.1 Jätevesiverkoston vuotovesiprosentti &lt; 30 %</v>
      </c>
      <c r="H111" s="1" t="str">
        <f>KorjattavaaTaulukko[[#This Row],[Vastaus ]]</f>
        <v/>
      </c>
    </row>
    <row r="112" spans="1:8" x14ac:dyDescent="0.35">
      <c r="A112" s="1" t="str">
        <f>Kestävä_ja_kehittyvä!I6</f>
        <v>Ei kuulu</v>
      </c>
      <c r="B112" s="1" t="str">
        <f>Kestävä_ja_kehittyvä!P6</f>
        <v/>
      </c>
      <c r="C112" s="163" t="str">
        <f t="shared" si="2"/>
        <v>Ei</v>
      </c>
      <c r="D112" s="1" t="str">
        <f>KorjattavaaTaulukko[[#This Row],[Huoltovarmuuskriteeri]]</f>
        <v>Kyllä</v>
      </c>
      <c r="E112" s="1" t="str">
        <f>KorjattavaaTaulukko[[#This Row],[Pääkategoria]]</f>
        <v>Kestävä ja kehittyvä</v>
      </c>
      <c r="F112" s="1" t="str">
        <f>KorjattavaaTaulukko[[#This Row],[Alakategoria]]</f>
        <v>9. Jätevesien käsittelyn ja johtamisen ympäristökuormitus minimoidaan</v>
      </c>
      <c r="G112" s="1" t="str">
        <f>KorjattavaaTaulukko[[#This Row],[Arviointikriteeri]]</f>
        <v>9.2 Viemäritukosten määrä &lt; 5 kpl/100 km/v</v>
      </c>
      <c r="H112" s="1" t="str">
        <f>KorjattavaaTaulukko[[#This Row],[Vastaus ]]</f>
        <v/>
      </c>
    </row>
    <row r="113" spans="1:8" x14ac:dyDescent="0.35">
      <c r="A113" s="1" t="str">
        <f>Kestävä_ja_kehittyvä!I7</f>
        <v>Ei kuulu</v>
      </c>
      <c r="B113" s="1" t="str">
        <f>Kestävä_ja_kehittyvä!P7</f>
        <v/>
      </c>
      <c r="C113" s="163" t="str">
        <f t="shared" si="2"/>
        <v>Ei</v>
      </c>
      <c r="D113" s="1" t="str">
        <f>KorjattavaaTaulukko[[#This Row],[Huoltovarmuuskriteeri]]</f>
        <v>Kyllä</v>
      </c>
      <c r="E113" s="1" t="str">
        <f>KorjattavaaTaulukko[[#This Row],[Pääkategoria]]</f>
        <v>Kestävä ja kehittyvä</v>
      </c>
      <c r="F113" s="1" t="str">
        <f>KorjattavaaTaulukko[[#This Row],[Alakategoria]]</f>
        <v>9. Jätevesien käsittelyn ja johtamisen ympäristökuormitus minimoidaan</v>
      </c>
      <c r="G113" s="1" t="str">
        <f>KorjattavaaTaulukko[[#This Row],[Arviointikriteeri]]</f>
        <v>9.3 Laitosohitusten määrä jätevedestä &lt; 0,5 %</v>
      </c>
      <c r="H113" s="1" t="str">
        <f>KorjattavaaTaulukko[[#This Row],[Vastaus ]]</f>
        <v/>
      </c>
    </row>
    <row r="114" spans="1:8" x14ac:dyDescent="0.35">
      <c r="A114" s="1" t="str">
        <f>Kestävä_ja_kehittyvä!I8</f>
        <v>Ei kuulu</v>
      </c>
      <c r="B114" s="1" t="str">
        <f>Kestävä_ja_kehittyvä!P8</f>
        <v/>
      </c>
      <c r="C114" s="163" t="str">
        <f t="shared" si="2"/>
        <v>Ei</v>
      </c>
      <c r="D114" s="1" t="str">
        <f>KorjattavaaTaulukko[[#This Row],[Huoltovarmuuskriteeri]]</f>
        <v>Ei</v>
      </c>
      <c r="E114" s="1" t="str">
        <f>KorjattavaaTaulukko[[#This Row],[Pääkategoria]]</f>
        <v>Kestävä ja kehittyvä</v>
      </c>
      <c r="F114" s="1" t="str">
        <f>KorjattavaaTaulukko[[#This Row],[Alakategoria]]</f>
        <v>9. Jätevesien käsittelyn ja johtamisen ympäristökuormitus minimoidaan</v>
      </c>
      <c r="G114" s="1" t="str">
        <f>KorjattavaaTaulukko[[#This Row],[Arviointikriteeri]]</f>
        <v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v>
      </c>
      <c r="H114" s="1" t="str">
        <f>KorjattavaaTaulukko[[#This Row],[Vastaus ]]</f>
        <v/>
      </c>
    </row>
    <row r="115" spans="1:8" x14ac:dyDescent="0.35">
      <c r="A115" s="1" t="str">
        <f>Kestävä_ja_kehittyvä!I9</f>
        <v>Ei kuulu</v>
      </c>
      <c r="B115" s="1" t="str">
        <f>Kestävä_ja_kehittyvä!P9</f>
        <v/>
      </c>
      <c r="C115" s="163" t="str">
        <f t="shared" si="2"/>
        <v>Ei</v>
      </c>
      <c r="D115" s="1" t="str">
        <f>KorjattavaaTaulukko[[#This Row],[Huoltovarmuuskriteeri]]</f>
        <v>Kyllä</v>
      </c>
      <c r="E115" s="1" t="str">
        <f>KorjattavaaTaulukko[[#This Row],[Pääkategoria]]</f>
        <v>Kestävä ja kehittyvä</v>
      </c>
      <c r="F115" s="1" t="str">
        <f>KorjattavaaTaulukko[[#This Row],[Alakategoria]]</f>
        <v>9. Jätevesien käsittelyn ja johtamisen ympäristökuormitus minimoidaan</v>
      </c>
      <c r="G115" s="1" t="str">
        <f>KorjattavaaTaulukko[[#This Row],[Arviointikriteeri]]</f>
        <v xml:space="preserve">9.5 Vesihuoltolaitoksen sekaviemäröinnin vähentämisestä on tehty suunnitelma ja sitä vähennetään vuosittain </v>
      </c>
      <c r="H115" s="1" t="str">
        <f>KorjattavaaTaulukko[[#This Row],[Vastaus ]]</f>
        <v/>
      </c>
    </row>
    <row r="116" spans="1:8" x14ac:dyDescent="0.35">
      <c r="A116" s="1" t="str">
        <f>Kestävä_ja_kehittyvä!I10</f>
        <v>Ei kuulu</v>
      </c>
      <c r="B116" s="1" t="str">
        <f>Kestävä_ja_kehittyvä!P10</f>
        <v/>
      </c>
      <c r="C116" s="163" t="str">
        <f t="shared" si="2"/>
        <v>Ei</v>
      </c>
      <c r="D116" s="1" t="str">
        <f>KorjattavaaTaulukko[[#This Row],[Huoltovarmuuskriteeri]]</f>
        <v>Ei</v>
      </c>
      <c r="E116" s="1" t="str">
        <f>KorjattavaaTaulukko[[#This Row],[Pääkategoria]]</f>
        <v>Kestävä ja kehittyvä</v>
      </c>
      <c r="F116" s="1" t="str">
        <f>KorjattavaaTaulukko[[#This Row],[Alakategoria]]</f>
        <v>9. Jätevesien käsittelyn ja johtamisen ympäristökuormitus minimoidaan</v>
      </c>
      <c r="G116" s="1" t="str">
        <f>KorjattavaaTaulukko[[#This Row],[Arviointikriteeri]]</f>
        <v xml:space="preserve">9.6 Vesihuoltolaitoksen viemäriverkoston vuotoja mitataan ja seurataan ja vuotavuusprosentti on määritelty soveltuvin osin pumppaamo- ja verkostoalueittain.  </v>
      </c>
      <c r="H116" s="1" t="str">
        <f>KorjattavaaTaulukko[[#This Row],[Vastaus ]]</f>
        <v/>
      </c>
    </row>
    <row r="117" spans="1:8" x14ac:dyDescent="0.35">
      <c r="A117" s="1" t="str">
        <f>Kestävä_ja_kehittyvä!I11</f>
        <v>Ei kuulu</v>
      </c>
      <c r="B117" s="1" t="str">
        <f>Kestävä_ja_kehittyvä!P11</f>
        <v/>
      </c>
      <c r="C117" s="163" t="str">
        <f t="shared" si="2"/>
        <v>Ei</v>
      </c>
      <c r="D117" s="1" t="str">
        <f>KorjattavaaTaulukko[[#This Row],[Huoltovarmuuskriteeri]]</f>
        <v>Ei</v>
      </c>
      <c r="E117" s="1" t="str">
        <f>KorjattavaaTaulukko[[#This Row],[Pääkategoria]]</f>
        <v>Kestävä ja kehittyvä</v>
      </c>
      <c r="F117" s="1" t="str">
        <f>KorjattavaaTaulukko[[#This Row],[Alakategoria]]</f>
        <v>9. Jätevesien käsittelyn ja johtamisen ympäristökuormitus minimoidaan</v>
      </c>
      <c r="G117" s="1" t="str">
        <f>KorjattavaaTaulukko[[#This Row],[Arviointikriteeri]]</f>
        <v>9.7 Vesihuoltolaitos on laatinut vuotovesien hallintasuunnitelman ja vuosittaisen investointisuunnitelman vuotovesien vähentämiseksi ja sitä toteutetaan.</v>
      </c>
      <c r="H117" s="1" t="str">
        <f>KorjattavaaTaulukko[[#This Row],[Vastaus ]]</f>
        <v/>
      </c>
    </row>
    <row r="118" spans="1:8" x14ac:dyDescent="0.35">
      <c r="A118" s="1" t="str">
        <f>Kestävä_ja_kehittyvä!I12</f>
        <v>Ei kuulu</v>
      </c>
      <c r="B118" s="1" t="str">
        <f>Kestävä_ja_kehittyvä!P12</f>
        <v/>
      </c>
      <c r="C118" s="163" t="str">
        <f t="shared" si="2"/>
        <v>Ei</v>
      </c>
      <c r="D118" s="1" t="str">
        <f>KorjattavaaTaulukko[[#This Row],[Huoltovarmuuskriteeri]]</f>
        <v>Ei</v>
      </c>
      <c r="E118" s="1" t="str">
        <f>KorjattavaaTaulukko[[#This Row],[Pääkategoria]]</f>
        <v>Kestävä ja kehittyvä</v>
      </c>
      <c r="F118" s="1" t="str">
        <f>KorjattavaaTaulukko[[#This Row],[Alakategoria]]</f>
        <v>9. Jätevesien käsittelyn ja johtamisen ympäristökuormitus minimoidaan</v>
      </c>
      <c r="G118" s="1" t="str">
        <f>KorjattavaaTaulukko[[#This Row],[Arviointikriteeri]]</f>
        <v>9.8 Vesihuoltolaitos on liittynyt vesiensuojelusopimukseen (Green Deal), tavoitteena vapaaehtoisesti vähentää kuormitusta alle lupaehtojen.</v>
      </c>
      <c r="H118" s="1" t="str">
        <f>KorjattavaaTaulukko[[#This Row],[Vastaus ]]</f>
        <v/>
      </c>
    </row>
    <row r="119" spans="1:8" x14ac:dyDescent="0.35">
      <c r="A119" s="1" t="str">
        <f>Kestävä_ja_kehittyvä!I13</f>
        <v>Ei kuulu</v>
      </c>
      <c r="B119" s="1" t="str">
        <f>Kestävä_ja_kehittyvä!P13</f>
        <v/>
      </c>
      <c r="C119" s="163" t="str">
        <f t="shared" si="2"/>
        <v>Ei</v>
      </c>
      <c r="D119" s="1" t="str">
        <f>KorjattavaaTaulukko[[#This Row],[Huoltovarmuuskriteeri]]</f>
        <v>Ei</v>
      </c>
      <c r="E119" s="1" t="str">
        <f>KorjattavaaTaulukko[[#This Row],[Pääkategoria]]</f>
        <v>Kestävä ja kehittyvä</v>
      </c>
      <c r="F119" s="1" t="str">
        <f>KorjattavaaTaulukko[[#This Row],[Alakategoria]]</f>
        <v>_Otsikkorivi</v>
      </c>
      <c r="G119" s="1" t="str">
        <f>KorjattavaaTaulukko[[#This Row],[Arviointikriteeri]]</f>
        <v>10. Kestävä ja energiatehokas</v>
      </c>
      <c r="H119" s="1" t="str">
        <f>KorjattavaaTaulukko[[#This Row],[Vastaus ]]</f>
        <v/>
      </c>
    </row>
    <row r="120" spans="1:8" x14ac:dyDescent="0.35">
      <c r="A120" s="1" t="str">
        <f>Kestävä_ja_kehittyvä!I14</f>
        <v>Ei kuulu</v>
      </c>
      <c r="B120" s="1" t="str">
        <f>Kestävä_ja_kehittyvä!P14</f>
        <v/>
      </c>
      <c r="C120" s="163" t="str">
        <f t="shared" si="2"/>
        <v>Ei</v>
      </c>
      <c r="D120" s="1" t="str">
        <f>KorjattavaaTaulukko[[#This Row],[Huoltovarmuuskriteeri]]</f>
        <v>Ei</v>
      </c>
      <c r="E120" s="1" t="str">
        <f>KorjattavaaTaulukko[[#This Row],[Pääkategoria]]</f>
        <v>Kestävä ja kehittyvä</v>
      </c>
      <c r="F120" s="1" t="str">
        <f>KorjattavaaTaulukko[[#This Row],[Alakategoria]]</f>
        <v>10. Kestävä ja energiatehokas</v>
      </c>
      <c r="G120" s="1" t="str">
        <f>KorjattavaaTaulukko[[#This Row],[Arviointikriteeri]]</f>
        <v xml:space="preserve">10.1 Vesihuoltolaitoksen energiankulutusta seurataan ja siihen kiinnitetään huomiota </v>
      </c>
      <c r="H120" s="1" t="str">
        <f>KorjattavaaTaulukko[[#This Row],[Vastaus ]]</f>
        <v/>
      </c>
    </row>
    <row r="121" spans="1:8" x14ac:dyDescent="0.35">
      <c r="A121" s="1" t="str">
        <f>Kestävä_ja_kehittyvä!I15</f>
        <v>Ei kuulu</v>
      </c>
      <c r="B121" s="1" t="str">
        <f>Kestävä_ja_kehittyvä!P15</f>
        <v/>
      </c>
      <c r="C121" s="163" t="str">
        <f t="shared" si="2"/>
        <v>Ei</v>
      </c>
      <c r="D121" s="1" t="str">
        <f>KorjattavaaTaulukko[[#This Row],[Huoltovarmuuskriteeri]]</f>
        <v>Ei</v>
      </c>
      <c r="E121" s="1" t="str">
        <f>KorjattavaaTaulukko[[#This Row],[Pääkategoria]]</f>
        <v>Kestävä ja kehittyvä</v>
      </c>
      <c r="F121" s="1" t="str">
        <f>KorjattavaaTaulukko[[#This Row],[Alakategoria]]</f>
        <v>10. Kestävä ja energiatehokas</v>
      </c>
      <c r="G121" s="1" t="str">
        <f>KorjattavaaTaulukko[[#This Row],[Arviointikriteeri]]</f>
        <v>10.1 Vesihuoltolaitoksen energiankulutusta mitataan ja seura-taan vesihuoltolaitoksella osa-alueittain (esim. pumppaukset tai muut merkittävimmät energiankulutuskohteet).</v>
      </c>
      <c r="H121" s="1" t="str">
        <f>KorjattavaaTaulukko[[#This Row],[Vastaus ]]</f>
        <v/>
      </c>
    </row>
    <row r="122" spans="1:8" x14ac:dyDescent="0.35">
      <c r="A122" s="1" t="str">
        <f>Kestävä_ja_kehittyvä!I16</f>
        <v>Ei kuulu</v>
      </c>
      <c r="B122" s="1" t="str">
        <f>Kestävä_ja_kehittyvä!P16</f>
        <v/>
      </c>
      <c r="C122" s="163" t="str">
        <f t="shared" si="2"/>
        <v>Ei</v>
      </c>
      <c r="D122" s="1" t="str">
        <f>KorjattavaaTaulukko[[#This Row],[Huoltovarmuuskriteeri]]</f>
        <v>Ei</v>
      </c>
      <c r="E122" s="1" t="str">
        <f>KorjattavaaTaulukko[[#This Row],[Pääkategoria]]</f>
        <v>Kestävä ja kehittyvä</v>
      </c>
      <c r="F122" s="1" t="str">
        <f>KorjattavaaTaulukko[[#This Row],[Alakategoria]]</f>
        <v>10. Kestävä ja energiatehokas</v>
      </c>
      <c r="G122" s="1" t="str">
        <f>KorjattavaaTaulukko[[#This Row],[Arviointikriteeri]]</f>
        <v>10.2 Vesihuoltolaitos tekee systemaattista riskinarviointia ja riskienhallintaa työturvallisuuden osalta sisältäen mm. kemiallisten ja biologisten vaarojen arvioinnin.</v>
      </c>
      <c r="H122" s="1" t="str">
        <f>KorjattavaaTaulukko[[#This Row],[Vastaus ]]</f>
        <v/>
      </c>
    </row>
    <row r="123" spans="1:8" x14ac:dyDescent="0.35">
      <c r="A123" s="1" t="str">
        <f>Kestävä_ja_kehittyvä!I17</f>
        <v>Ei kuulu</v>
      </c>
      <c r="B123" s="1" t="str">
        <f>Kestävä_ja_kehittyvä!P17</f>
        <v/>
      </c>
      <c r="C123" s="163" t="str">
        <f t="shared" si="2"/>
        <v>Ei</v>
      </c>
      <c r="D123" s="1" t="str">
        <f>KorjattavaaTaulukko[[#This Row],[Huoltovarmuuskriteeri]]</f>
        <v>Ei</v>
      </c>
      <c r="E123" s="1" t="str">
        <f>KorjattavaaTaulukko[[#This Row],[Pääkategoria]]</f>
        <v>Kestävä ja kehittyvä</v>
      </c>
      <c r="F123" s="1" t="str">
        <f>KorjattavaaTaulukko[[#This Row],[Alakategoria]]</f>
        <v>10. Kestävä ja energiatehokas</v>
      </c>
      <c r="G123" s="1" t="str">
        <f>KorjattavaaTaulukko[[#This Row],[Arviointikriteeri]]</f>
        <v xml:space="preserve">10.3 Vesihuoltolaitoksen toiminta-alueen asukkaille on kohdistettu neuvontaa luvattomien viemäriliitosten poistamiseksi (esimerkiksi huleveden ja/tai perustusten kuivatusveden johtaminen jätevesiviemäriin ilman lupaa). </v>
      </c>
      <c r="H123" s="1" t="str">
        <f>KorjattavaaTaulukko[[#This Row],[Vastaus ]]</f>
        <v/>
      </c>
    </row>
    <row r="124" spans="1:8" x14ac:dyDescent="0.35">
      <c r="A124" s="1" t="str">
        <f>Kestävä_ja_kehittyvä!I18</f>
        <v>Ei kuulu</v>
      </c>
      <c r="B124" s="1" t="str">
        <f>Kestävä_ja_kehittyvä!P18</f>
        <v/>
      </c>
      <c r="C124" s="163" t="str">
        <f t="shared" si="2"/>
        <v>Ei</v>
      </c>
      <c r="D124" s="1" t="str">
        <f>KorjattavaaTaulukko[[#This Row],[Huoltovarmuuskriteeri]]</f>
        <v>Ei</v>
      </c>
      <c r="E124" s="1" t="str">
        <f>KorjattavaaTaulukko[[#This Row],[Pääkategoria]]</f>
        <v>Kestävä ja kehittyvä</v>
      </c>
      <c r="F124" s="1" t="str">
        <f>KorjattavaaTaulukko[[#This Row],[Alakategoria]]</f>
        <v>10. Kestävä ja energiatehokas</v>
      </c>
      <c r="G124" s="1" t="str">
        <f>KorjattavaaTaulukko[[#This Row],[Arviointikriteeri]]</f>
        <v>10.4 Taloudelliset ohjauskeinot luvattomien viemäriliitosten poistamiseksi ovat aidosti käytössä eli korotettuja maksuja peritään tarvittaessa.</v>
      </c>
      <c r="H124" s="1" t="str">
        <f>KorjattavaaTaulukko[[#This Row],[Vastaus ]]</f>
        <v/>
      </c>
    </row>
    <row r="125" spans="1:8" x14ac:dyDescent="0.35">
      <c r="A125" s="1" t="str">
        <f>Kestävä_ja_kehittyvä!I19</f>
        <v>Ei kuulu</v>
      </c>
      <c r="B125" s="1" t="str">
        <f>Kestävä_ja_kehittyvä!P19</f>
        <v/>
      </c>
      <c r="C125" s="163" t="str">
        <f t="shared" si="2"/>
        <v>Ei</v>
      </c>
      <c r="D125" s="1" t="str">
        <f>KorjattavaaTaulukko[[#This Row],[Huoltovarmuuskriteeri]]</f>
        <v>Ei</v>
      </c>
      <c r="E125" s="1" t="str">
        <f>KorjattavaaTaulukko[[#This Row],[Pääkategoria]]</f>
        <v>Kestävä ja kehittyvä</v>
      </c>
      <c r="F125" s="1" t="str">
        <f>KorjattavaaTaulukko[[#This Row],[Alakategoria]]</f>
        <v>10. Kestävä ja energiatehokas</v>
      </c>
      <c r="G125" s="1" t="str">
        <f>KorjattavaaTaulukko[[#This Row],[Arviointikriteeri]]</f>
        <v>10.5 Vesihuoltolaitos laatii ja julkaisee ympäristötilinpäätöksen vuosittain.</v>
      </c>
      <c r="H125" s="1" t="str">
        <f>KorjattavaaTaulukko[[#This Row],[Vastaus ]]</f>
        <v/>
      </c>
    </row>
    <row r="126" spans="1:8" x14ac:dyDescent="0.35">
      <c r="A126" s="1" t="str">
        <f>Kestävä_ja_kehittyvä!I20</f>
        <v>Ei kuulu</v>
      </c>
      <c r="B126" s="1" t="str">
        <f>Kestävä_ja_kehittyvä!P20</f>
        <v/>
      </c>
      <c r="C126" s="163" t="str">
        <f t="shared" si="2"/>
        <v>Ei</v>
      </c>
      <c r="D126" s="1" t="str">
        <f>KorjattavaaTaulukko[[#This Row],[Huoltovarmuuskriteeri]]</f>
        <v>Ei</v>
      </c>
      <c r="E126" s="1" t="str">
        <f>KorjattavaaTaulukko[[#This Row],[Pääkategoria]]</f>
        <v>Kestävä ja kehittyvä</v>
      </c>
      <c r="F126" s="1" t="str">
        <f>KorjattavaaTaulukko[[#This Row],[Alakategoria]]</f>
        <v>10. Kestävä ja energiatehokas</v>
      </c>
      <c r="G126" s="1" t="str">
        <f>KorjattavaaTaulukko[[#This Row],[Arviointikriteeri]]</f>
        <v>10.6 Vesihuoltolaitoksen hiilijalanjälki on laskettu ja tuloksia käytetään toiminnan ohjauksessa.</v>
      </c>
      <c r="H126" s="1" t="str">
        <f>KorjattavaaTaulukko[[#This Row],[Vastaus ]]</f>
        <v/>
      </c>
    </row>
    <row r="127" spans="1:8" x14ac:dyDescent="0.35">
      <c r="A127" s="1" t="str">
        <f>Kestävä_ja_kehittyvä!I21</f>
        <v>Ei kuulu</v>
      </c>
      <c r="B127" s="1" t="str">
        <f>Kestävä_ja_kehittyvä!P21</f>
        <v/>
      </c>
      <c r="C127" s="163" t="str">
        <f t="shared" si="2"/>
        <v>Ei</v>
      </c>
      <c r="D127" s="1" t="str">
        <f>KorjattavaaTaulukko[[#This Row],[Huoltovarmuuskriteeri]]</f>
        <v>Ei</v>
      </c>
      <c r="E127" s="1" t="str">
        <f>KorjattavaaTaulukko[[#This Row],[Pääkategoria]]</f>
        <v>Kestävä ja kehittyvä</v>
      </c>
      <c r="F127" s="1" t="str">
        <f>KorjattavaaTaulukko[[#This Row],[Alakategoria]]</f>
        <v>10. Kestävä ja energiatehokas</v>
      </c>
      <c r="G127" s="1" t="str">
        <f>KorjattavaaTaulukko[[#This Row],[Arviointikriteeri]]</f>
        <v>10.7 Vesihuoltolaitoksen energiankulutus on analysoitu, toimenpideohjelma energiatehokkuuden parantamiseksi laadittu ja sitä toteutetaan.</v>
      </c>
      <c r="H127" s="1" t="str">
        <f>KorjattavaaTaulukko[[#This Row],[Vastaus ]]</f>
        <v/>
      </c>
    </row>
    <row r="128" spans="1:8" x14ac:dyDescent="0.35">
      <c r="A128" s="1" t="str">
        <f>Kestävä_ja_kehittyvä!I22</f>
        <v>Ei kuulu</v>
      </c>
      <c r="B128" s="1" t="str">
        <f>Kestävä_ja_kehittyvä!P22</f>
        <v/>
      </c>
      <c r="C128" s="163" t="str">
        <f t="shared" si="2"/>
        <v>Ei</v>
      </c>
      <c r="D128" s="1" t="str">
        <f>KorjattavaaTaulukko[[#This Row],[Huoltovarmuuskriteeri]]</f>
        <v>Ei</v>
      </c>
      <c r="E128" s="1" t="str">
        <f>KorjattavaaTaulukko[[#This Row],[Pääkategoria]]</f>
        <v>Kestävä ja kehittyvä</v>
      </c>
      <c r="F128" s="1" t="str">
        <f>KorjattavaaTaulukko[[#This Row],[Alakategoria]]</f>
        <v>10. Kestävä ja energiatehokas</v>
      </c>
      <c r="G128" s="1" t="str">
        <f>KorjattavaaTaulukko[[#This Row],[Arviointikriteeri]]</f>
        <v xml:space="preserve">10.8 Jätevedenpuhdistamolla hyödynnetään hukkalämpöä. </v>
      </c>
      <c r="H128" s="1" t="str">
        <f>KorjattavaaTaulukko[[#This Row],[Vastaus ]]</f>
        <v/>
      </c>
    </row>
    <row r="129" spans="1:8" x14ac:dyDescent="0.35">
      <c r="A129" s="1" t="str">
        <f>Kestävä_ja_kehittyvä!I23</f>
        <v>Ei kuulu</v>
      </c>
      <c r="B129" s="1" t="str">
        <f>Kestävä_ja_kehittyvä!P23</f>
        <v/>
      </c>
      <c r="C129" s="163" t="str">
        <f t="shared" si="2"/>
        <v>Ei</v>
      </c>
      <c r="D129" s="1" t="str">
        <f>KorjattavaaTaulukko[[#This Row],[Huoltovarmuuskriteeri]]</f>
        <v>Ei</v>
      </c>
      <c r="E129" s="1" t="str">
        <f>KorjattavaaTaulukko[[#This Row],[Pääkategoria]]</f>
        <v>Kestävä ja kehittyvä</v>
      </c>
      <c r="F129" s="1" t="str">
        <f>KorjattavaaTaulukko[[#This Row],[Alakategoria]]</f>
        <v>10. Kestävä ja energiatehokas</v>
      </c>
      <c r="G129" s="1" t="str">
        <f>KorjattavaaTaulukko[[#This Row],[Arviointikriteeri]]</f>
        <v>10.9 Vesilaitoksen toiminnassa on järjestelmällisesti otettu huomioon ympäristö-, talous- ja sosiaalinen vastuu.</v>
      </c>
      <c r="H129" s="1" t="str">
        <f>KorjattavaaTaulukko[[#This Row],[Vastaus ]]</f>
        <v/>
      </c>
    </row>
    <row r="130" spans="1:8" x14ac:dyDescent="0.35">
      <c r="A130" s="1" t="str">
        <f>Kestävä_ja_kehittyvä!I24</f>
        <v>Ei kuulu</v>
      </c>
      <c r="B130" s="1" t="str">
        <f>Kestävä_ja_kehittyvä!P24</f>
        <v/>
      </c>
      <c r="C130" s="163" t="str">
        <f t="shared" si="2"/>
        <v>Ei</v>
      </c>
      <c r="D130" s="1" t="str">
        <f>KorjattavaaTaulukko[[#This Row],[Huoltovarmuuskriteeri]]</f>
        <v>Ei</v>
      </c>
      <c r="E130" s="1" t="str">
        <f>KorjattavaaTaulukko[[#This Row],[Pääkategoria]]</f>
        <v>Kestävä ja kehittyvä</v>
      </c>
      <c r="F130" s="1" t="str">
        <f>KorjattavaaTaulukko[[#This Row],[Alakategoria]]</f>
        <v>10. Kestävä ja energiatehokas</v>
      </c>
      <c r="G130" s="1" t="str">
        <f>KorjattavaaTaulukko[[#This Row],[Arviointikriteeri]]</f>
        <v>10.10 Vesihuoltolaitoksen energiantuottopotentiaali on kartoitettu ja laitoksella on tavoitearvo energiaomavaraisuudelle.</v>
      </c>
      <c r="H130" s="1" t="str">
        <f>KorjattavaaTaulukko[[#This Row],[Vastaus ]]</f>
        <v/>
      </c>
    </row>
    <row r="131" spans="1:8" x14ac:dyDescent="0.35">
      <c r="A131" s="1" t="str">
        <f>Kestävä_ja_kehittyvä!I25</f>
        <v>Ei kuulu</v>
      </c>
      <c r="B131" s="1" t="str">
        <f>Kestävä_ja_kehittyvä!P25</f>
        <v/>
      </c>
      <c r="C131" s="163" t="str">
        <f t="shared" si="2"/>
        <v>Ei</v>
      </c>
      <c r="D131" s="1" t="str">
        <f>KorjattavaaTaulukko[[#This Row],[Huoltovarmuuskriteeri]]</f>
        <v>Ei</v>
      </c>
      <c r="E131" s="1" t="str">
        <f>KorjattavaaTaulukko[[#This Row],[Pääkategoria]]</f>
        <v>Kestävä ja kehittyvä</v>
      </c>
      <c r="F131" s="1" t="str">
        <f>KorjattavaaTaulukko[[#This Row],[Alakategoria]]</f>
        <v>10. Kestävä ja energiatehokas</v>
      </c>
      <c r="G131" s="1" t="str">
        <f>KorjattavaaTaulukko[[#This Row],[Arviointikriteeri]]</f>
        <v xml:space="preserve">10.12 Hiilineutraalisuudelle on asetettu tavoite ja toimenpidesuunnitelma sen saavuttamiseksi </v>
      </c>
      <c r="H131" s="1" t="str">
        <f>KorjattavaaTaulukko[[#This Row],[Vastaus ]]</f>
        <v/>
      </c>
    </row>
    <row r="132" spans="1:8" x14ac:dyDescent="0.35">
      <c r="A132" s="1" t="str">
        <f>Kestävä_ja_kehittyvä!I26</f>
        <v>Ei kuulu</v>
      </c>
      <c r="B132" s="1" t="str">
        <f>Kestävä_ja_kehittyvä!P26</f>
        <v/>
      </c>
      <c r="C132" s="163" t="str">
        <f t="shared" si="2"/>
        <v>Ei</v>
      </c>
      <c r="D132" s="1" t="str">
        <f>KorjattavaaTaulukko[[#This Row],[Huoltovarmuuskriteeri]]</f>
        <v>Ei</v>
      </c>
      <c r="E132" s="1" t="str">
        <f>KorjattavaaTaulukko[[#This Row],[Pääkategoria]]</f>
        <v>Kestävä ja kehittyvä</v>
      </c>
      <c r="F132" s="1" t="str">
        <f>KorjattavaaTaulukko[[#This Row],[Alakategoria]]</f>
        <v>_Otsikkorivi</v>
      </c>
      <c r="G132" s="1" t="str">
        <f>KorjattavaaTaulukko[[#This Row],[Arviointikriteeri]]</f>
        <v>11. Asiakaspalvelu ja viestintä on suunniteltua ja läpinäkyvää</v>
      </c>
      <c r="H132" s="1" t="str">
        <f>KorjattavaaTaulukko[[#This Row],[Vastaus ]]</f>
        <v/>
      </c>
    </row>
    <row r="133" spans="1:8" x14ac:dyDescent="0.35">
      <c r="A133" s="1" t="str">
        <f>Kestävä_ja_kehittyvä!I27</f>
        <v>Ei kuulu</v>
      </c>
      <c r="B133" s="1" t="str">
        <f>Kestävä_ja_kehittyvä!P27</f>
        <v/>
      </c>
      <c r="C133" s="163" t="str">
        <f t="shared" si="2"/>
        <v>Ei</v>
      </c>
      <c r="D133" s="1" t="str">
        <f>KorjattavaaTaulukko[[#This Row],[Huoltovarmuuskriteeri]]</f>
        <v>Ei</v>
      </c>
      <c r="E133" s="1" t="str">
        <f>KorjattavaaTaulukko[[#This Row],[Pääkategoria]]</f>
        <v>Kestävä ja kehittyvä</v>
      </c>
      <c r="F133" s="1" t="str">
        <f>KorjattavaaTaulukko[[#This Row],[Alakategoria]]</f>
        <v>11. Asiakaspalvelu ja viestintä on suunniteltua ja läpinäkyvää</v>
      </c>
      <c r="G133" s="1" t="str">
        <f>KorjattavaaTaulukko[[#This Row],[Arviointikriteeri]]</f>
        <v>11.1 Säännöllinen asiakasviestintä esim. www-sivuilla, laskun/mittarilukemakortin yhteydessä tai asiakaslehdellä</v>
      </c>
      <c r="H133" s="1" t="str">
        <f>KorjattavaaTaulukko[[#This Row],[Vastaus ]]</f>
        <v/>
      </c>
    </row>
    <row r="134" spans="1:8" x14ac:dyDescent="0.35">
      <c r="A134" s="1" t="str">
        <f>Kestävä_ja_kehittyvä!I28</f>
        <v>Ei kuulu</v>
      </c>
      <c r="B134" s="1" t="str">
        <f>Kestävä_ja_kehittyvä!P28</f>
        <v/>
      </c>
      <c r="C134" s="163" t="str">
        <f t="shared" si="2"/>
        <v>Ei</v>
      </c>
      <c r="D134" s="1" t="str">
        <f>KorjattavaaTaulukko[[#This Row],[Huoltovarmuuskriteeri]]</f>
        <v>Ei</v>
      </c>
      <c r="E134" s="1" t="str">
        <f>KorjattavaaTaulukko[[#This Row],[Pääkategoria]]</f>
        <v>Kestävä ja kehittyvä</v>
      </c>
      <c r="F134" s="1" t="str">
        <f>KorjattavaaTaulukko[[#This Row],[Alakategoria]]</f>
        <v>11. Asiakaspalvelu ja viestintä on suunniteltua ja läpinäkyvää</v>
      </c>
      <c r="G134" s="1" t="str">
        <f>KorjattavaaTaulukko[[#This Row],[Arviointikriteeri]]</f>
        <v>11.2 Toimintakertomus ja tilinpäätös julkaistaan vuosittain</v>
      </c>
      <c r="H134" s="1" t="str">
        <f>KorjattavaaTaulukko[[#This Row],[Vastaus ]]</f>
        <v/>
      </c>
    </row>
    <row r="135" spans="1:8" x14ac:dyDescent="0.35">
      <c r="A135" s="1" t="str">
        <f>Kestävä_ja_kehittyvä!I29</f>
        <v>Ei kuulu</v>
      </c>
      <c r="B135" s="1" t="str">
        <f>Kestävä_ja_kehittyvä!P29</f>
        <v/>
      </c>
      <c r="C135" s="163" t="str">
        <f t="shared" si="2"/>
        <v>Ei</v>
      </c>
      <c r="D135" s="1" t="str">
        <f>KorjattavaaTaulukko[[#This Row],[Huoltovarmuuskriteeri]]</f>
        <v>Ei</v>
      </c>
      <c r="E135" s="1" t="str">
        <f>KorjattavaaTaulukko[[#This Row],[Pääkategoria]]</f>
        <v>Kestävä ja kehittyvä</v>
      </c>
      <c r="F135" s="1" t="str">
        <f>KorjattavaaTaulukko[[#This Row],[Alakategoria]]</f>
        <v>11. Asiakaspalvelu ja viestintä on suunniteltua ja läpinäkyvää</v>
      </c>
      <c r="G135" s="1" t="str">
        <f>KorjattavaaTaulukko[[#This Row],[Arviointikriteeri]]</f>
        <v>11.3 Asiakaspalaute kirjataan ylös</v>
      </c>
      <c r="H135" s="1" t="str">
        <f>KorjattavaaTaulukko[[#This Row],[Vastaus ]]</f>
        <v/>
      </c>
    </row>
    <row r="136" spans="1:8" x14ac:dyDescent="0.35">
      <c r="A136" s="1" t="str">
        <f>Kestävä_ja_kehittyvä!I30</f>
        <v>Ei kuulu</v>
      </c>
      <c r="B136" s="1" t="str">
        <f>Kestävä_ja_kehittyvä!P30</f>
        <v/>
      </c>
      <c r="C136" s="163" t="str">
        <f t="shared" ref="C136:C148" si="3">IF(AND(A136="Kuuluu",H136="Ei",B136&lt;&gt;"Extra"),"Kyllä","Ei")</f>
        <v>Ei</v>
      </c>
      <c r="D136" s="1" t="str">
        <f>KorjattavaaTaulukko[[#This Row],[Huoltovarmuuskriteeri]]</f>
        <v>Ei</v>
      </c>
      <c r="E136" s="1" t="str">
        <f>KorjattavaaTaulukko[[#This Row],[Pääkategoria]]</f>
        <v>Kestävä ja kehittyvä</v>
      </c>
      <c r="F136" s="1" t="str">
        <f>KorjattavaaTaulukko[[#This Row],[Alakategoria]]</f>
        <v>11. Asiakaspalvelu ja viestintä on suunniteltua ja läpinäkyvää</v>
      </c>
      <c r="G136" s="1" t="str">
        <f>KorjattavaaTaulukko[[#This Row],[Arviointikriteeri]]</f>
        <v>11.4 Asiakastietojärjestelmä mahdollistaa sähköiset asiakaspalvelut</v>
      </c>
      <c r="H136" s="1" t="str">
        <f>KorjattavaaTaulukko[[#This Row],[Vastaus ]]</f>
        <v/>
      </c>
    </row>
    <row r="137" spans="1:8" x14ac:dyDescent="0.35">
      <c r="A137" s="1" t="str">
        <f>Kestävä_ja_kehittyvä!I31</f>
        <v>Ei kuulu</v>
      </c>
      <c r="B137" s="1" t="str">
        <f>Kestävä_ja_kehittyvä!P31</f>
        <v/>
      </c>
      <c r="C137" s="163" t="str">
        <f t="shared" si="3"/>
        <v>Ei</v>
      </c>
      <c r="D137" s="1" t="str">
        <f>KorjattavaaTaulukko[[#This Row],[Huoltovarmuuskriteeri]]</f>
        <v>Ei</v>
      </c>
      <c r="E137" s="1" t="str">
        <f>KorjattavaaTaulukko[[#This Row],[Pääkategoria]]</f>
        <v>Kestävä ja kehittyvä</v>
      </c>
      <c r="F137" s="1" t="str">
        <f>KorjattavaaTaulukko[[#This Row],[Alakategoria]]</f>
        <v>11. Asiakaspalvelu ja viestintä on suunniteltua ja läpinäkyvää</v>
      </c>
      <c r="G137" s="1" t="str">
        <f>KorjattavaaTaulukko[[#This Row],[Arviointikriteeri]]</f>
        <v>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v>
      </c>
      <c r="H137" s="1" t="str">
        <f>KorjattavaaTaulukko[[#This Row],[Vastaus ]]</f>
        <v/>
      </c>
    </row>
    <row r="138" spans="1:8" x14ac:dyDescent="0.35">
      <c r="A138" s="1" t="str">
        <f>Kestävä_ja_kehittyvä!I32</f>
        <v>Ei kuulu</v>
      </c>
      <c r="B138" s="1" t="str">
        <f>Kestävä_ja_kehittyvä!P32</f>
        <v/>
      </c>
      <c r="C138" s="163" t="str">
        <f t="shared" si="3"/>
        <v>Ei</v>
      </c>
      <c r="D138" s="1" t="str">
        <f>KorjattavaaTaulukko[[#This Row],[Huoltovarmuuskriteeri]]</f>
        <v>Ei</v>
      </c>
      <c r="E138" s="1" t="str">
        <f>KorjattavaaTaulukko[[#This Row],[Pääkategoria]]</f>
        <v>Kestävä ja kehittyvä</v>
      </c>
      <c r="F138" s="1" t="str">
        <f>KorjattavaaTaulukko[[#This Row],[Alakategoria]]</f>
        <v>11. Asiakaspalvelu ja viestintä on suunniteltua ja läpinäkyvää</v>
      </c>
      <c r="G138" s="1" t="str">
        <f>KorjattavaaTaulukko[[#This Row],[Arviointikriteeri]]</f>
        <v>11.6 Laitos tekee asiakastyytyväisyyskyselyn 2-4 vuoden välein.</v>
      </c>
      <c r="H138" s="1" t="str">
        <f>KorjattavaaTaulukko[[#This Row],[Vastaus ]]</f>
        <v/>
      </c>
    </row>
    <row r="139" spans="1:8" x14ac:dyDescent="0.35">
      <c r="A139" s="1" t="str">
        <f>Kestävä_ja_kehittyvä!I33</f>
        <v>Ei kuulu</v>
      </c>
      <c r="B139" s="1" t="str">
        <f>Kestävä_ja_kehittyvä!P33</f>
        <v/>
      </c>
      <c r="C139" s="163" t="str">
        <f t="shared" si="3"/>
        <v>Ei</v>
      </c>
      <c r="D139" s="1" t="str">
        <f>KorjattavaaTaulukko[[#This Row],[Huoltovarmuuskriteeri]]</f>
        <v>Ei</v>
      </c>
      <c r="E139" s="1" t="str">
        <f>KorjattavaaTaulukko[[#This Row],[Pääkategoria]]</f>
        <v>Kestävä ja kehittyvä</v>
      </c>
      <c r="F139" s="1" t="str">
        <f>KorjattavaaTaulukko[[#This Row],[Alakategoria]]</f>
        <v>11. Asiakaspalvelu ja viestintä on suunniteltua ja läpinäkyvää</v>
      </c>
      <c r="G139" s="1" t="str">
        <f>KorjattavaaTaulukko[[#This Row],[Arviointikriteeri]]</f>
        <v>11.6 Laitos tekee asiakastyytyväisyyskyselyn 1-2 vuoden välein</v>
      </c>
      <c r="H139" s="1" t="str">
        <f>KorjattavaaTaulukko[[#This Row],[Vastaus ]]</f>
        <v/>
      </c>
    </row>
    <row r="140" spans="1:8" x14ac:dyDescent="0.35">
      <c r="A140" s="1" t="str">
        <f>Kestävä_ja_kehittyvä!I34</f>
        <v>Ei kuulu</v>
      </c>
      <c r="B140" s="1" t="str">
        <f>Kestävä_ja_kehittyvä!P34</f>
        <v/>
      </c>
      <c r="C140" s="163" t="str">
        <f t="shared" si="3"/>
        <v>Ei</v>
      </c>
      <c r="D140" s="1" t="str">
        <f>KorjattavaaTaulukko[[#This Row],[Huoltovarmuuskriteeri]]</f>
        <v>Ei</v>
      </c>
      <c r="E140" s="1" t="str">
        <f>KorjattavaaTaulukko[[#This Row],[Pääkategoria]]</f>
        <v>Kestävä ja kehittyvä</v>
      </c>
      <c r="F140" s="1" t="str">
        <f>KorjattavaaTaulukko[[#This Row],[Alakategoria]]</f>
        <v>11. Asiakaspalvelu ja viestintä on suunniteltua ja läpinäkyvää</v>
      </c>
      <c r="G140" s="1" t="str">
        <f>KorjattavaaTaulukko[[#This Row],[Arviointikriteeri]]</f>
        <v>11.6 Laitos tekee asiakastyytyväisyyskyselyn vuosittain.</v>
      </c>
      <c r="H140" s="1" t="str">
        <f>KorjattavaaTaulukko[[#This Row],[Vastaus ]]</f>
        <v/>
      </c>
    </row>
    <row r="141" spans="1:8" x14ac:dyDescent="0.35">
      <c r="A141" s="1" t="str">
        <f>Kestävä_ja_kehittyvä!I35</f>
        <v>Ei kuulu</v>
      </c>
      <c r="B141" s="1" t="str">
        <f>Kestävä_ja_kehittyvä!P35</f>
        <v/>
      </c>
      <c r="C141" s="163" t="str">
        <f t="shared" si="3"/>
        <v>Ei</v>
      </c>
      <c r="D141" s="1" t="str">
        <f>KorjattavaaTaulukko[[#This Row],[Huoltovarmuuskriteeri]]</f>
        <v>Ei</v>
      </c>
      <c r="E141" s="1" t="str">
        <f>KorjattavaaTaulukko[[#This Row],[Pääkategoria]]</f>
        <v>Kestävä ja kehittyvä</v>
      </c>
      <c r="F141" s="1" t="str">
        <f>KorjattavaaTaulukko[[#This Row],[Alakategoria]]</f>
        <v>11. Asiakaspalvelu ja viestintä on suunniteltua ja läpinäkyvää</v>
      </c>
      <c r="G141" s="1" t="str">
        <f>KorjattavaaTaulukko[[#This Row],[Arviointikriteeri]]</f>
        <v>11.7 Asiakasvalituksiin vastaamiseen on asetettu tavoiteaika.</v>
      </c>
      <c r="H141" s="1" t="str">
        <f>KorjattavaaTaulukko[[#This Row],[Vastaus ]]</f>
        <v/>
      </c>
    </row>
    <row r="142" spans="1:8" x14ac:dyDescent="0.35">
      <c r="A142" s="1" t="str">
        <f>Kestävä_ja_kehittyvä!I36</f>
        <v>Ei kuulu</v>
      </c>
      <c r="B142" s="1" t="str">
        <f>Kestävä_ja_kehittyvä!P36</f>
        <v/>
      </c>
      <c r="C142" s="163" t="str">
        <f t="shared" si="3"/>
        <v>Ei</v>
      </c>
      <c r="D142" s="1" t="str">
        <f>KorjattavaaTaulukko[[#This Row],[Huoltovarmuuskriteeri]]</f>
        <v>Ei</v>
      </c>
      <c r="E142" s="1" t="str">
        <f>KorjattavaaTaulukko[[#This Row],[Pääkategoria]]</f>
        <v>Kestävä ja kehittyvä</v>
      </c>
      <c r="F142" s="1" t="str">
        <f>KorjattavaaTaulukko[[#This Row],[Alakategoria]]</f>
        <v>11. Asiakaspalvelu ja viestintä on suunniteltua ja läpinäkyvää</v>
      </c>
      <c r="G142" s="1" t="str">
        <f>KorjattavaaTaulukko[[#This Row],[Arviointikriteeri]]</f>
        <v>11.8 Käytössä liittyjäkohtainen kuluttajaviestintä (esim. tekstiviesti-ilmoitus)</v>
      </c>
      <c r="H142" s="1" t="str">
        <f>KorjattavaaTaulukko[[#This Row],[Vastaus ]]</f>
        <v/>
      </c>
    </row>
    <row r="143" spans="1:8" x14ac:dyDescent="0.35">
      <c r="A143" s="1" t="str">
        <f>Kestävä_ja_kehittyvä!I37</f>
        <v>Ei kuulu</v>
      </c>
      <c r="B143" s="1" t="str">
        <f>Kestävä_ja_kehittyvä!P37</f>
        <v/>
      </c>
      <c r="C143" s="163" t="str">
        <f t="shared" si="3"/>
        <v>Ei</v>
      </c>
      <c r="D143" s="1" t="str">
        <f>KorjattavaaTaulukko[[#This Row],[Huoltovarmuuskriteeri]]</f>
        <v>Ei</v>
      </c>
      <c r="E143" s="1" t="str">
        <f>KorjattavaaTaulukko[[#This Row],[Pääkategoria]]</f>
        <v>Kestävä ja kehittyvä</v>
      </c>
      <c r="F143" s="1" t="str">
        <f>KorjattavaaTaulukko[[#This Row],[Alakategoria]]</f>
        <v>11. Asiakaspalvelu ja viestintä on suunniteltua ja läpinäkyvää</v>
      </c>
      <c r="G143" s="1" t="str">
        <f>KorjattavaaTaulukko[[#This Row],[Arviointikriteeri]]</f>
        <v>11.9 Sijaintitiedon kannalta oleelliset asiakasvalitukset hallinnoidaan paikkatietona. (esim. johtotietojärjestelmä, kunnossapitojärjestelmä)</v>
      </c>
      <c r="H143" s="1" t="str">
        <f>KorjattavaaTaulukko[[#This Row],[Vastaus ]]</f>
        <v/>
      </c>
    </row>
    <row r="144" spans="1:8" x14ac:dyDescent="0.35">
      <c r="A144" s="1" t="str">
        <f>Kestävä_ja_kehittyvä!I38</f>
        <v>Ei kuulu</v>
      </c>
      <c r="B144" s="1" t="str">
        <f>Kestävä_ja_kehittyvä!P38</f>
        <v/>
      </c>
      <c r="C144" s="163" t="str">
        <f t="shared" si="3"/>
        <v>Ei</v>
      </c>
      <c r="D144" s="1" t="str">
        <f>KorjattavaaTaulukko[[#This Row],[Huoltovarmuuskriteeri]]</f>
        <v>Ei</v>
      </c>
      <c r="E144" s="1" t="str">
        <f>KorjattavaaTaulukko[[#This Row],[Pääkategoria]]</f>
        <v>Kestävä ja kehittyvä</v>
      </c>
      <c r="F144" s="1" t="str">
        <f>KorjattavaaTaulukko[[#This Row],[Alakategoria]]</f>
        <v>11. Asiakaspalvelu ja viestintä on suunniteltua ja läpinäkyvää</v>
      </c>
      <c r="G144" s="1" t="str">
        <f>KorjattavaaTaulukko[[#This Row],[Arviointikriteeri]]</f>
        <v>11.10 Asiakastyytyväisyyden tulos tasolla vähintään hyvä.</v>
      </c>
      <c r="H144" s="1" t="str">
        <f>KorjattavaaTaulukko[[#This Row],[Vastaus ]]</f>
        <v/>
      </c>
    </row>
    <row r="145" spans="1:8" x14ac:dyDescent="0.35">
      <c r="A145" s="1" t="str">
        <f>Kestävä_ja_kehittyvä!I39</f>
        <v>Ei kuulu</v>
      </c>
      <c r="B145" s="1" t="str">
        <f>Kestävä_ja_kehittyvä!P39</f>
        <v/>
      </c>
      <c r="C145" s="163" t="str">
        <f t="shared" si="3"/>
        <v>Ei</v>
      </c>
      <c r="D145" s="1" t="str">
        <f>KorjattavaaTaulukko[[#This Row],[Huoltovarmuuskriteeri]]</f>
        <v>Ei</v>
      </c>
      <c r="E145" s="1" t="str">
        <f>KorjattavaaTaulukko[[#This Row],[Pääkategoria]]</f>
        <v>Kestävä ja kehittyvä</v>
      </c>
      <c r="F145" s="1" t="str">
        <f>KorjattavaaTaulukko[[#This Row],[Alakategoria]]</f>
        <v>11. Asiakaspalvelu ja viestintä on suunniteltua ja läpinäkyvää</v>
      </c>
      <c r="G145" s="1" t="str">
        <f>KorjattavaaTaulukko[[#This Row],[Arviointikriteeri]]</f>
        <v>11.11 Asiakaspalvelua kehitetään asiakastyytyväisyyskyselyjen lisäksi yhteistyössä asiakkaiden kanssa. (esim. säännöllinen asiakasfoorumi, isännöitsijätapaamiset)</v>
      </c>
      <c r="H145" s="1" t="str">
        <f>KorjattavaaTaulukko[[#This Row],[Vastaus ]]</f>
        <v/>
      </c>
    </row>
    <row r="146" spans="1:8" x14ac:dyDescent="0.35">
      <c r="A146" s="1" t="str">
        <f>Kestävä_ja_kehittyvä!I40</f>
        <v>Ei kuulu</v>
      </c>
      <c r="B146" s="1" t="str">
        <f>Kestävä_ja_kehittyvä!P40</f>
        <v/>
      </c>
      <c r="C146" s="163" t="str">
        <f t="shared" si="3"/>
        <v>Ei</v>
      </c>
      <c r="D146" s="1" t="str">
        <f>KorjattavaaTaulukko[[#This Row],[Huoltovarmuuskriteeri]]</f>
        <v>Ei</v>
      </c>
      <c r="E146" s="1" t="str">
        <f>KorjattavaaTaulukko[[#This Row],[Pääkategoria]]</f>
        <v>Kestävä ja kehittyvä</v>
      </c>
      <c r="F146" s="1" t="str">
        <f>KorjattavaaTaulukko[[#This Row],[Alakategoria]]</f>
        <v>11. Asiakaspalvelu ja viestintä on suunniteltua ja läpinäkyvää</v>
      </c>
      <c r="G146" s="1" t="str">
        <f>KorjattavaaTaulukko[[#This Row],[Arviointikriteeri]]</f>
        <v>11.12 Asiakaspalvelulle on määritelty palvelutaso normaalitoiminnassa ja häiriötilanteissa.</v>
      </c>
      <c r="H146" s="1" t="str">
        <f>KorjattavaaTaulukko[[#This Row],[Vastaus ]]</f>
        <v/>
      </c>
    </row>
    <row r="147" spans="1:8" x14ac:dyDescent="0.35">
      <c r="A147" s="1" t="str">
        <f>Kestävä_ja_kehittyvä!I41</f>
        <v>Ei kuulu</v>
      </c>
      <c r="B147" s="1" t="str">
        <f>Kestävä_ja_kehittyvä!P41</f>
        <v/>
      </c>
      <c r="C147" s="163" t="str">
        <f t="shared" si="3"/>
        <v>Ei</v>
      </c>
      <c r="D147" s="1" t="str">
        <f>KorjattavaaTaulukko[[#This Row],[Huoltovarmuuskriteeri]]</f>
        <v>Ei</v>
      </c>
      <c r="E147" s="1" t="str">
        <f>KorjattavaaTaulukko[[#This Row],[Pääkategoria]]</f>
        <v>Kestävä ja kehittyvä</v>
      </c>
      <c r="F147" s="1" t="str">
        <f>KorjattavaaTaulukko[[#This Row],[Alakategoria]]</f>
        <v>11. Asiakaspalvelu ja viestintä on suunniteltua ja läpinäkyvää</v>
      </c>
      <c r="G147" s="1" t="str">
        <f>KorjattavaaTaulukko[[#This Row],[Arviointikriteeri]]</f>
        <v>11.13 Asiakastyytyväisyyden jatkuva seuranta aina asiakaskohtaamisen yhteydessä</v>
      </c>
      <c r="H147" s="1" t="str">
        <f>KorjattavaaTaulukko[[#This Row],[Vastaus ]]</f>
        <v/>
      </c>
    </row>
    <row r="148" spans="1:8" x14ac:dyDescent="0.35">
      <c r="A148" s="1" t="str">
        <f>Kestävä_ja_kehittyvä!I42</f>
        <v>Ei kuulu</v>
      </c>
      <c r="B148" s="1" t="str">
        <f>Kestävä_ja_kehittyvä!P42</f>
        <v/>
      </c>
      <c r="C148" s="163" t="str">
        <f t="shared" si="3"/>
        <v>Ei</v>
      </c>
      <c r="D148" s="1" t="str">
        <f>KorjattavaaTaulukko[[#This Row],[Huoltovarmuuskriteeri]]</f>
        <v>Ei</v>
      </c>
      <c r="E148" s="1" t="str">
        <f>KorjattavaaTaulukko[[#This Row],[Pääkategoria]]</f>
        <v>Kestävä ja kehittyvä</v>
      </c>
      <c r="F148" s="1" t="str">
        <f>KorjattavaaTaulukko[[#This Row],[Alakategoria]]</f>
        <v>11. Asiakaspalvelu ja viestintä on suunniteltua ja läpinäkyvää</v>
      </c>
      <c r="G148" s="1" t="str">
        <f>KorjattavaaTaulukko[[#This Row],[Arviointikriteeri]]</f>
        <v>11.14 Asiakkaille tarjotaan kohderyhmittäin räätälöityjä lisäpalveluja kulutustietojen, asioinnin yms. suhteen, esim. etäluenta, ladattava äppi tms.</v>
      </c>
      <c r="H148" s="1" t="str">
        <f>KorjattavaaTaulukko[[#This Row],[Vastaus ]]</f>
        <v/>
      </c>
    </row>
  </sheetData>
  <sheetProtection sort="0" autoFilter="0"/>
  <mergeCells count="1">
    <mergeCell ref="A5:C5"/>
  </mergeCells>
  <dataValidations count="1">
    <dataValidation allowBlank="1" showInputMessage="1" showErrorMessage="1" promptTitle="Huoltovarmuuskriteeri" prompt="Tämä sarake näyttää, onko kyse huoltovarmuuskriteeristä." sqref="D6" xr:uid="{E1F6E93D-22F4-424F-8743-013C25B7A1BE}"/>
  </dataValidations>
  <pageMargins left="0.7" right="0.7" top="0.75" bottom="0.75" header="0.3" footer="0.3"/>
  <pageSetup paperSize="9" orientation="portrait" horizontalDpi="4294967293"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7BCE-AB8C-4076-B727-B24A475FCF56}">
  <sheetPr>
    <tabColor rgb="FFFF0000"/>
  </sheetPr>
  <dimension ref="A1:Y143"/>
  <sheetViews>
    <sheetView showGridLines="0" workbookViewId="0">
      <selection activeCell="O1" sqref="O1"/>
    </sheetView>
  </sheetViews>
  <sheetFormatPr defaultRowHeight="14.5" x14ac:dyDescent="0.35"/>
  <cols>
    <col min="1" max="1" width="10.81640625" customWidth="1"/>
    <col min="2" max="2" width="14.08984375" customWidth="1"/>
    <col min="3" max="3" width="20.08984375" style="74" bestFit="1" customWidth="1"/>
    <col min="4" max="4" width="17.90625" bestFit="1" customWidth="1"/>
    <col min="5" max="5" width="13.453125" customWidth="1"/>
    <col min="6" max="6" width="12.90625" customWidth="1"/>
    <col min="7" max="7" width="62.36328125" customWidth="1"/>
    <col min="8" max="8" width="15.08984375" customWidth="1"/>
    <col min="9" max="9" width="9.6328125" customWidth="1"/>
    <col min="10" max="10" width="20.1796875" customWidth="1"/>
    <col min="11" max="11" width="17.6328125" customWidth="1"/>
    <col min="12" max="12" width="8.90625" bestFit="1" customWidth="1"/>
    <col min="13" max="13" width="17.36328125" customWidth="1"/>
    <col min="14" max="14" width="12.6328125" customWidth="1"/>
    <col min="15" max="15" width="3.81640625" customWidth="1"/>
    <col min="25" max="25" width="4.6328125" customWidth="1"/>
  </cols>
  <sheetData>
    <row r="1" spans="1:25" x14ac:dyDescent="0.35">
      <c r="A1" t="s">
        <v>240</v>
      </c>
      <c r="B1" t="s">
        <v>237</v>
      </c>
      <c r="C1" s="74" t="s">
        <v>239</v>
      </c>
      <c r="D1" t="s">
        <v>238</v>
      </c>
      <c r="E1" t="s">
        <v>1</v>
      </c>
      <c r="F1" t="s">
        <v>229</v>
      </c>
      <c r="G1" t="s">
        <v>230</v>
      </c>
      <c r="H1" t="s">
        <v>5</v>
      </c>
      <c r="I1" t="s">
        <v>231</v>
      </c>
      <c r="J1" t="s">
        <v>234</v>
      </c>
      <c r="K1" t="s">
        <v>235</v>
      </c>
      <c r="L1" t="s">
        <v>232</v>
      </c>
      <c r="M1" t="s">
        <v>233</v>
      </c>
      <c r="N1" t="s">
        <v>236</v>
      </c>
      <c r="P1" s="137"/>
      <c r="Q1" s="137"/>
      <c r="R1" s="137"/>
      <c r="S1" s="137"/>
      <c r="T1" s="137"/>
      <c r="U1" s="137"/>
      <c r="V1" s="137"/>
      <c r="W1" s="137"/>
      <c r="X1" s="137"/>
      <c r="Y1" s="137"/>
    </row>
    <row r="2" spans="1:25" hidden="1" x14ac:dyDescent="0.35">
      <c r="A2" t="str">
        <f>Turvallinen_ja_toimintavarma!I5</f>
        <v>Ei kuulu</v>
      </c>
      <c r="B2" t="str">
        <f>Turvallinen_ja_toimintavarma!P5</f>
        <v/>
      </c>
      <c r="C2" s="74" t="str">
        <f>Turvallinen_ja_toimintavarma!A5</f>
        <v xml:space="preserve">1,2,3,4 </v>
      </c>
      <c r="D2" t="str">
        <f>Turvallinen_ja_toimintavarma!C5</f>
        <v>A,B,C,D</v>
      </c>
      <c r="E2" t="str">
        <f>IF(ISBLANK(Turvallinen_ja_toimintavarma!K5),"_Otsikkorivi",Turvallinen_ja_toimintavarma!K5)</f>
        <v>Turvallinen ja toimintavarma</v>
      </c>
      <c r="F2" t="str">
        <f>Turvallinen_ja_toimintavarma!L5</f>
        <v>_Otsikkorivi</v>
      </c>
      <c r="G2" t="str">
        <f>IF(ISBLANK(Turvallinen_ja_toimintavarma!R5),"Otsikkorivi",Turvallinen_ja_toimintavarma!R5)</f>
        <v>1. Laadukas, raakaveden laadun huomioiva, kriteerit täyttävä vedenkäsittelyprosessi</v>
      </c>
      <c r="H2" t="str">
        <f>IF(Turvallinen_ja_toimintavarma!N5="x","Kyllä","Ei")</f>
        <v>Ei</v>
      </c>
      <c r="I2" t="str">
        <f>IF(ISBLANK(Turvallinen_ja_toimintavarma!S5),"",Turvallinen_ja_toimintavarma!S5)</f>
        <v/>
      </c>
      <c r="J2">
        <f>LV!$B$10</f>
        <v>0</v>
      </c>
      <c r="K2" t="str">
        <f>LV!$I$18</f>
        <v/>
      </c>
      <c r="L2" t="str">
        <f>IF(ISBLANK(Lähtötiedot!$O$18),"",Lähtötiedot!$O$18)</f>
        <v/>
      </c>
      <c r="M2" t="str">
        <f>IF(ISBLANK(Lähtötiedot!$O$16),"",Lähtötiedot!$O$16)</f>
        <v/>
      </c>
      <c r="N2" s="73" t="str">
        <f>IF(ISBLANK(Lähtötiedot!$O$15),"",Lähtötiedot!$O$15)</f>
        <v/>
      </c>
      <c r="O2" s="73"/>
      <c r="P2" s="137"/>
      <c r="Q2" s="137"/>
      <c r="R2" s="137"/>
      <c r="S2" s="137"/>
      <c r="T2" s="137"/>
      <c r="U2" s="137"/>
      <c r="V2" s="137"/>
      <c r="W2" s="137"/>
      <c r="X2" s="137"/>
      <c r="Y2" s="137"/>
    </row>
    <row r="3" spans="1:25" x14ac:dyDescent="0.35">
      <c r="A3" t="str">
        <f>Turvallinen_ja_toimintavarma!I6</f>
        <v>Ei kuulu</v>
      </c>
      <c r="B3" t="str">
        <f>Turvallinen_ja_toimintavarma!P6</f>
        <v/>
      </c>
      <c r="C3" s="74" t="str">
        <f>Turvallinen_ja_toimintavarma!A6</f>
        <v xml:space="preserve">1,2,3,4 </v>
      </c>
      <c r="D3" t="str">
        <f>Turvallinen_ja_toimintavarma!C6</f>
        <v>A,B</v>
      </c>
      <c r="E3" t="str">
        <f>IF(ISBLANK(Turvallinen_ja_toimintavarma!K6),"_Otsikkorivi",Turvallinen_ja_toimintavarma!K6)</f>
        <v>Turvallinen ja toimintavarma</v>
      </c>
      <c r="F3" t="str">
        <f>Turvallinen_ja_toimintavarma!L6</f>
        <v>1. Laadukas, raakaveden laadun huomioiva, kriteerit täyttävä vedenkäsittelyprosessi</v>
      </c>
      <c r="G3" t="str">
        <f>IF(ISBLANK(Turvallinen_ja_toimintavarma!R6),"Otsikkorivi",Turvallinen_ja_toimintavarma!R6)</f>
        <v>1.1 Vesilaitoksella on valmius aloittaa tai järjestää klooridesinfiointi 6 h sisällä talousvesiasetuksen (1352/2015) 20 a pykälän edellyttämällä tavalla.</v>
      </c>
      <c r="H3" t="str">
        <f>IF(Turvallinen_ja_toimintavarma!N6="x","Kyllä","Ei")</f>
        <v>Kyllä</v>
      </c>
      <c r="I3" t="str">
        <f>IF(ISBLANK(Turvallinen_ja_toimintavarma!S6),"",Turvallinen_ja_toimintavarma!S6)</f>
        <v/>
      </c>
      <c r="J3">
        <f>LV!$B$10</f>
        <v>0</v>
      </c>
      <c r="K3" t="str">
        <f>LV!$I$18</f>
        <v/>
      </c>
      <c r="L3" t="str">
        <f>IF(ISBLANK(Lähtötiedot!$O$18),"",Lähtötiedot!$O$18)</f>
        <v/>
      </c>
      <c r="M3" t="str">
        <f>IF(ISBLANK(Lähtötiedot!$O$16),"",Lähtötiedot!$O$16)</f>
        <v/>
      </c>
      <c r="N3" s="73" t="str">
        <f>IF(ISBLANK(Lähtötiedot!$O$15),"",Lähtötiedot!$O$15)</f>
        <v/>
      </c>
      <c r="O3" s="73"/>
      <c r="P3" s="137"/>
      <c r="Q3" s="137"/>
      <c r="R3" s="137"/>
      <c r="S3" s="137"/>
      <c r="T3" s="137"/>
      <c r="U3" s="137"/>
      <c r="V3" s="137"/>
      <c r="W3" s="137"/>
      <c r="X3" s="137"/>
      <c r="Y3" s="137"/>
    </row>
    <row r="4" spans="1:25" x14ac:dyDescent="0.35">
      <c r="A4" t="str">
        <f>Turvallinen_ja_toimintavarma!I7</f>
        <v>Ei kuulu</v>
      </c>
      <c r="B4" t="str">
        <f>Turvallinen_ja_toimintavarma!P7</f>
        <v/>
      </c>
      <c r="C4" s="74" t="str">
        <f>Turvallinen_ja_toimintavarma!A7</f>
        <v>1,2,3,4</v>
      </c>
      <c r="D4" t="str">
        <f>Turvallinen_ja_toimintavarma!C7</f>
        <v>A,B</v>
      </c>
      <c r="E4" t="str">
        <f>IF(ISBLANK(Turvallinen_ja_toimintavarma!K7),"_Otsikkorivi",Turvallinen_ja_toimintavarma!K7)</f>
        <v>Turvallinen ja toimintavarma</v>
      </c>
      <c r="F4" t="str">
        <f>Turvallinen_ja_toimintavarma!L7</f>
        <v>1. Laadukas, raakaveden laadun huomioiva, kriteerit täyttävä vedenkäsittelyprosessi</v>
      </c>
      <c r="G4" t="str">
        <f>IF(ISBLANK(Turvallinen_ja_toimintavarma!R7),"Otsikkorivi",Turvallinen_ja_toimintavarma!R7)</f>
        <v>1.2 Klooridesinfiointia testataan säännöllisesti.</v>
      </c>
      <c r="H4" t="str">
        <f>IF(Turvallinen_ja_toimintavarma!N7="x","Kyllä","Ei")</f>
        <v>Kyllä</v>
      </c>
      <c r="I4" t="str">
        <f>IF(ISBLANK(Turvallinen_ja_toimintavarma!S7),"",Turvallinen_ja_toimintavarma!S7)</f>
        <v/>
      </c>
      <c r="J4">
        <f>LV!$B$10</f>
        <v>0</v>
      </c>
      <c r="K4" t="str">
        <f>LV!$I$18</f>
        <v/>
      </c>
      <c r="L4" t="str">
        <f>IF(ISBLANK(Lähtötiedot!$O$18),"",Lähtötiedot!$O$18)</f>
        <v/>
      </c>
      <c r="M4" t="str">
        <f>IF(ISBLANK(Lähtötiedot!$O$16),"",Lähtötiedot!$O$16)</f>
        <v/>
      </c>
      <c r="N4" s="73" t="str">
        <f>IF(ISBLANK(Lähtötiedot!$O$15),"",Lähtötiedot!$O$15)</f>
        <v/>
      </c>
      <c r="O4" s="73"/>
      <c r="P4" s="137"/>
      <c r="Q4" s="137"/>
      <c r="R4" s="137"/>
      <c r="S4" s="137"/>
      <c r="T4" s="137"/>
      <c r="U4" s="137"/>
      <c r="V4" s="137"/>
      <c r="W4" s="137"/>
      <c r="X4" s="137"/>
      <c r="Y4" s="137"/>
    </row>
    <row r="5" spans="1:25" x14ac:dyDescent="0.35">
      <c r="A5" t="str">
        <f>Turvallinen_ja_toimintavarma!I8</f>
        <v>Ei kuulu</v>
      </c>
      <c r="B5" t="str">
        <f>Turvallinen_ja_toimintavarma!P8</f>
        <v/>
      </c>
      <c r="C5" s="74" t="str">
        <f>Turvallinen_ja_toimintavarma!A8</f>
        <v>1,2,3,4</v>
      </c>
      <c r="D5" t="str">
        <f>Turvallinen_ja_toimintavarma!C8</f>
        <v>A,B</v>
      </c>
      <c r="E5" t="str">
        <f>IF(ISBLANK(Turvallinen_ja_toimintavarma!K8),"_Otsikkorivi",Turvallinen_ja_toimintavarma!K8)</f>
        <v>Turvallinen ja toimintavarma</v>
      </c>
      <c r="F5" t="str">
        <f>Turvallinen_ja_toimintavarma!L8</f>
        <v>1. Laadukas, raakaveden laadun huomioiva, kriteerit täyttävä vedenkäsittelyprosessi</v>
      </c>
      <c r="G5" t="str">
        <f>IF(ISBLANK(Turvallinen_ja_toimintavarma!R8),"Otsikkorivi",Turvallinen_ja_toimintavarma!R8)</f>
        <v>1.3 Laatuvaatimukset täyttävä vedenlaatu (100 % näytteistä)</v>
      </c>
      <c r="H5" t="str">
        <f>IF(Turvallinen_ja_toimintavarma!N8="x","Kyllä","Ei")</f>
        <v>Kyllä</v>
      </c>
      <c r="I5" t="str">
        <f>IF(ISBLANK(Turvallinen_ja_toimintavarma!S8),"",Turvallinen_ja_toimintavarma!S8)</f>
        <v/>
      </c>
      <c r="J5">
        <f>LV!$B$10</f>
        <v>0</v>
      </c>
      <c r="K5" t="str">
        <f>LV!$I$18</f>
        <v/>
      </c>
      <c r="L5" t="str">
        <f>IF(ISBLANK(Lähtötiedot!$O$18),"",Lähtötiedot!$O$18)</f>
        <v/>
      </c>
      <c r="M5" t="str">
        <f>IF(ISBLANK(Lähtötiedot!$O$16),"",Lähtötiedot!$O$16)</f>
        <v/>
      </c>
      <c r="N5" s="73" t="str">
        <f>IF(ISBLANK(Lähtötiedot!$O$15),"",Lähtötiedot!$O$15)</f>
        <v/>
      </c>
      <c r="O5" s="73"/>
      <c r="P5" s="137"/>
      <c r="Q5" s="137"/>
      <c r="R5" s="137"/>
      <c r="S5" s="137"/>
      <c r="T5" s="137"/>
      <c r="U5" s="137"/>
      <c r="V5" s="137"/>
      <c r="W5" s="137"/>
      <c r="X5" s="137"/>
      <c r="Y5" s="137"/>
    </row>
    <row r="6" spans="1:25" x14ac:dyDescent="0.35">
      <c r="A6" t="str">
        <f>Turvallinen_ja_toimintavarma!I9</f>
        <v>Ei kuulu</v>
      </c>
      <c r="B6" t="str">
        <f>Turvallinen_ja_toimintavarma!P9</f>
        <v/>
      </c>
      <c r="C6" s="74" t="str">
        <f>Turvallinen_ja_toimintavarma!A9</f>
        <v>1,2,3,4</v>
      </c>
      <c r="D6" t="str">
        <f>Turvallinen_ja_toimintavarma!C9</f>
        <v>A,B</v>
      </c>
      <c r="E6" t="str">
        <f>IF(ISBLANK(Turvallinen_ja_toimintavarma!K9),"_Otsikkorivi",Turvallinen_ja_toimintavarma!K9)</f>
        <v>Turvallinen ja toimintavarma</v>
      </c>
      <c r="F6" t="str">
        <f>Turvallinen_ja_toimintavarma!L9</f>
        <v>1. Laadukas, raakaveden laadun huomioiva, kriteerit täyttävä vedenkäsittelyprosessi</v>
      </c>
      <c r="G6" t="str">
        <f>IF(ISBLANK(Turvallinen_ja_toimintavarma!R9),"Otsikkorivi",Turvallinen_ja_toimintavarma!R9)</f>
        <v>1.4 Laatutavoitteet täyttävä vedenlaatu (100 % näytteistä)</v>
      </c>
      <c r="H6" t="str">
        <f>IF(Turvallinen_ja_toimintavarma!N9="x","Kyllä","Ei")</f>
        <v>Ei</v>
      </c>
      <c r="I6" t="str">
        <f>IF(ISBLANK(Turvallinen_ja_toimintavarma!S9),"",Turvallinen_ja_toimintavarma!S9)</f>
        <v/>
      </c>
      <c r="J6">
        <f>LV!$B$10</f>
        <v>0</v>
      </c>
      <c r="K6" t="str">
        <f>LV!$I$18</f>
        <v/>
      </c>
      <c r="L6" t="str">
        <f>IF(ISBLANK(Lähtötiedot!$O$18),"",Lähtötiedot!$O$18)</f>
        <v/>
      </c>
      <c r="M6" t="str">
        <f>IF(ISBLANK(Lähtötiedot!$O$16),"",Lähtötiedot!$O$16)</f>
        <v/>
      </c>
      <c r="N6" s="73" t="str">
        <f>IF(ISBLANK(Lähtötiedot!$O$15),"",Lähtötiedot!$O$15)</f>
        <v/>
      </c>
      <c r="O6" s="73"/>
      <c r="P6" s="137"/>
      <c r="Q6" s="137"/>
      <c r="R6" s="137"/>
      <c r="S6" s="137"/>
      <c r="T6" s="137"/>
      <c r="U6" s="137"/>
      <c r="V6" s="137"/>
      <c r="W6" s="137"/>
      <c r="X6" s="137"/>
      <c r="Y6" s="137"/>
    </row>
    <row r="7" spans="1:25" x14ac:dyDescent="0.35">
      <c r="A7" t="str">
        <f>Turvallinen_ja_toimintavarma!I10</f>
        <v>Ei kuulu</v>
      </c>
      <c r="B7" t="str">
        <f>Turvallinen_ja_toimintavarma!P10</f>
        <v/>
      </c>
      <c r="C7" s="74" t="str">
        <f>Turvallinen_ja_toimintavarma!A10</f>
        <v>1,2,3,4</v>
      </c>
      <c r="D7" t="str">
        <f>Turvallinen_ja_toimintavarma!C10</f>
        <v>B</v>
      </c>
      <c r="E7" t="str">
        <f>IF(ISBLANK(Turvallinen_ja_toimintavarma!K10),"_Otsikkorivi",Turvallinen_ja_toimintavarma!K10)</f>
        <v>Turvallinen ja toimintavarma</v>
      </c>
      <c r="F7" t="str">
        <f>Turvallinen_ja_toimintavarma!L10</f>
        <v>1. Laadukas, raakaveden laadun huomioiva, kriteerit täyttävä vedenkäsittelyprosessi</v>
      </c>
      <c r="G7" t="str">
        <f>IF(ISBLANK(Turvallinen_ja_toimintavarma!R10),"Otsikkorivi",Turvallinen_ja_toimintavarma!R10)</f>
        <v>1.5 Vesijohtoverkoston paineettomissa putkirikkokorjauksissa rikkoutunut putkilinjaosuus desinfioidaan tai varmistetaan verkoston mikrobiologinen puhtaus tutkimuksin ennen käyttöönottoa.</v>
      </c>
      <c r="H7" t="str">
        <f>IF(Turvallinen_ja_toimintavarma!N10="x","Kyllä","Ei")</f>
        <v>Ei</v>
      </c>
      <c r="I7" t="str">
        <f>IF(ISBLANK(Turvallinen_ja_toimintavarma!S10),"",Turvallinen_ja_toimintavarma!S10)</f>
        <v/>
      </c>
      <c r="J7">
        <f>LV!$B$10</f>
        <v>0</v>
      </c>
      <c r="K7" t="str">
        <f>LV!$I$18</f>
        <v/>
      </c>
      <c r="L7" t="str">
        <f>IF(ISBLANK(Lähtötiedot!$O$18),"",Lähtötiedot!$O$18)</f>
        <v/>
      </c>
      <c r="M7" t="str">
        <f>IF(ISBLANK(Lähtötiedot!$O$16),"",Lähtötiedot!$O$16)</f>
        <v/>
      </c>
      <c r="N7" s="73" t="str">
        <f>IF(ISBLANK(Lähtötiedot!$O$15),"",Lähtötiedot!$O$15)</f>
        <v/>
      </c>
      <c r="O7" s="73"/>
      <c r="P7" s="137"/>
      <c r="Q7" s="137"/>
      <c r="R7" s="137"/>
      <c r="S7" s="137"/>
      <c r="T7" s="137"/>
      <c r="U7" s="137"/>
      <c r="V7" s="137"/>
      <c r="W7" s="137"/>
      <c r="X7" s="137"/>
      <c r="Y7" s="137"/>
    </row>
    <row r="8" spans="1:25" x14ac:dyDescent="0.35">
      <c r="A8" t="str">
        <f>Turvallinen_ja_toimintavarma!I11</f>
        <v>Ei kuulu</v>
      </c>
      <c r="B8" t="str">
        <f>Turvallinen_ja_toimintavarma!P11</f>
        <v/>
      </c>
      <c r="C8" s="74" t="str">
        <f>Turvallinen_ja_toimintavarma!A11</f>
        <v>1,2,3,4</v>
      </c>
      <c r="D8" t="str">
        <f>Turvallinen_ja_toimintavarma!C11</f>
        <v>B</v>
      </c>
      <c r="E8" t="str">
        <f>IF(ISBLANK(Turvallinen_ja_toimintavarma!K11),"_Otsikkorivi",Turvallinen_ja_toimintavarma!K11)</f>
        <v>Turvallinen ja toimintavarma</v>
      </c>
      <c r="F8" t="str">
        <f>Turvallinen_ja_toimintavarma!L11</f>
        <v>1. Laadukas, raakaveden laadun huomioiva, kriteerit täyttävä vedenkäsittelyprosessi</v>
      </c>
      <c r="G8" t="str">
        <f>IF(ISBLANK(Turvallinen_ja_toimintavarma!R11),"Otsikkorivi",Turvallinen_ja_toimintavarma!R11)</f>
        <v>1.6 Vedenjakeluverkoston näytteenottopisteiden edustavuus valvontatutkimusohjelmassa on säännöllisesti varmistettu alueelliset erityispiirteet ja WSP:n tulokset huomioon ottaen.</v>
      </c>
      <c r="H8" t="str">
        <f>IF(Turvallinen_ja_toimintavarma!N11="x","Kyllä","Ei")</f>
        <v>Ei</v>
      </c>
      <c r="I8" t="str">
        <f>IF(ISBLANK(Turvallinen_ja_toimintavarma!S11),"",Turvallinen_ja_toimintavarma!S11)</f>
        <v/>
      </c>
      <c r="J8">
        <f>LV!$B$10</f>
        <v>0</v>
      </c>
      <c r="K8" t="str">
        <f>LV!$I$18</f>
        <v/>
      </c>
      <c r="L8" t="str">
        <f>IF(ISBLANK(Lähtötiedot!$O$18),"",Lähtötiedot!$O$18)</f>
        <v/>
      </c>
      <c r="M8" t="str">
        <f>IF(ISBLANK(Lähtötiedot!$O$16),"",Lähtötiedot!$O$16)</f>
        <v/>
      </c>
      <c r="N8" s="73" t="str">
        <f>IF(ISBLANK(Lähtötiedot!$O$15),"",Lähtötiedot!$O$15)</f>
        <v/>
      </c>
      <c r="O8" s="73"/>
      <c r="P8" s="137"/>
      <c r="Q8" s="137"/>
      <c r="R8" s="137"/>
      <c r="S8" s="137"/>
      <c r="T8" s="137"/>
      <c r="U8" s="137"/>
      <c r="V8" s="137"/>
      <c r="W8" s="137"/>
      <c r="X8" s="137"/>
      <c r="Y8" s="137"/>
    </row>
    <row r="9" spans="1:25" x14ac:dyDescent="0.35">
      <c r="A9" t="str">
        <f>Turvallinen_ja_toimintavarma!I12</f>
        <v>Ei kuulu</v>
      </c>
      <c r="B9" t="str">
        <f>Turvallinen_ja_toimintavarma!P12</f>
        <v/>
      </c>
      <c r="C9" s="74" t="str">
        <f>Turvallinen_ja_toimintavarma!A12</f>
        <v>2,3,4</v>
      </c>
      <c r="D9" t="str">
        <f>Turvallinen_ja_toimintavarma!C12</f>
        <v>A</v>
      </c>
      <c r="E9" t="str">
        <f>IF(ISBLANK(Turvallinen_ja_toimintavarma!K12),"_Otsikkorivi",Turvallinen_ja_toimintavarma!K12)</f>
        <v>Turvallinen ja toimintavarma</v>
      </c>
      <c r="F9" t="str">
        <f>Turvallinen_ja_toimintavarma!L12</f>
        <v>1. Laadukas, raakaveden laadun huomioiva, kriteerit täyttävä vedenkäsittelyprosessi</v>
      </c>
      <c r="G9" t="str">
        <f>IF(ISBLANK(Turvallinen_ja_toimintavarma!R12),"Otsikkorivi",Turvallinen_ja_toimintavarma!R12)</f>
        <v>1.7 Talousvesi desinfioidaan jatkuvatoimisesti ennen johtamista vedenjakeluverkostoon tai vesihuoltolaitos on tehnyt riskiarvion, jonka perusteella jatkuvatoimiselle talousveden desinfioinnille ei ole tarvetta</v>
      </c>
      <c r="H9" t="str">
        <f>IF(Turvallinen_ja_toimintavarma!N12="x","Kyllä","Ei")</f>
        <v>Ei</v>
      </c>
      <c r="I9" t="str">
        <f>IF(ISBLANK(Turvallinen_ja_toimintavarma!S12),"",Turvallinen_ja_toimintavarma!S12)</f>
        <v/>
      </c>
      <c r="J9">
        <f>LV!$B$10</f>
        <v>0</v>
      </c>
      <c r="K9" t="str">
        <f>LV!$I$18</f>
        <v/>
      </c>
      <c r="L9" t="str">
        <f>IF(ISBLANK(Lähtötiedot!$O$18),"",Lähtötiedot!$O$18)</f>
        <v/>
      </c>
      <c r="M9" t="str">
        <f>IF(ISBLANK(Lähtötiedot!$O$16),"",Lähtötiedot!$O$16)</f>
        <v/>
      </c>
      <c r="N9" s="73" t="str">
        <f>IF(ISBLANK(Lähtötiedot!$O$15),"",Lähtötiedot!$O$15)</f>
        <v/>
      </c>
      <c r="O9" s="73"/>
      <c r="P9" s="137"/>
      <c r="Q9" s="137"/>
      <c r="R9" s="137"/>
      <c r="S9" s="137"/>
      <c r="T9" s="137"/>
      <c r="U9" s="137"/>
      <c r="V9" s="137"/>
      <c r="W9" s="137"/>
      <c r="X9" s="137"/>
      <c r="Y9" s="137"/>
    </row>
    <row r="10" spans="1:25" x14ac:dyDescent="0.35">
      <c r="A10" t="str">
        <f>Turvallinen_ja_toimintavarma!I13</f>
        <v>Ei kuulu</v>
      </c>
      <c r="B10" t="str">
        <f>Turvallinen_ja_toimintavarma!P13</f>
        <v/>
      </c>
      <c r="C10" s="74">
        <f>Turvallinen_ja_toimintavarma!A13</f>
        <v>4</v>
      </c>
      <c r="D10" t="str">
        <f>Turvallinen_ja_toimintavarma!C13</f>
        <v>A</v>
      </c>
      <c r="E10" t="str">
        <f>IF(ISBLANK(Turvallinen_ja_toimintavarma!K13),"_Otsikkorivi",Turvallinen_ja_toimintavarma!K13)</f>
        <v>Turvallinen ja toimintavarma</v>
      </c>
      <c r="F10" t="str">
        <f>Turvallinen_ja_toimintavarma!L13</f>
        <v>1. Laadukas, raakaveden laadun huomioiva, kriteerit täyttävä vedenkäsittelyprosessi</v>
      </c>
      <c r="G10" t="str">
        <f>IF(ISBLANK(Turvallinen_ja_toimintavarma!R13),"Otsikkorivi",Turvallinen_ja_toimintavarma!R13)</f>
        <v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v>
      </c>
      <c r="H10" t="str">
        <f>IF(Turvallinen_ja_toimintavarma!N13="x","Kyllä","Ei")</f>
        <v>Ei</v>
      </c>
      <c r="I10" t="str">
        <f>IF(ISBLANK(Turvallinen_ja_toimintavarma!S13),"",Turvallinen_ja_toimintavarma!S13)</f>
        <v/>
      </c>
      <c r="J10">
        <f>LV!$B$10</f>
        <v>0</v>
      </c>
      <c r="K10" t="str">
        <f>LV!$I$18</f>
        <v/>
      </c>
      <c r="L10" t="str">
        <f>IF(ISBLANK(Lähtötiedot!$O$18),"",Lähtötiedot!$O$18)</f>
        <v/>
      </c>
      <c r="M10" t="str">
        <f>IF(ISBLANK(Lähtötiedot!$O$16),"",Lähtötiedot!$O$16)</f>
        <v/>
      </c>
      <c r="N10" s="73" t="str">
        <f>IF(ISBLANK(Lähtötiedot!$O$15),"",Lähtötiedot!$O$15)</f>
        <v/>
      </c>
      <c r="O10" s="73"/>
      <c r="P10" s="137"/>
      <c r="Q10" s="137"/>
      <c r="R10" s="137"/>
      <c r="S10" s="137"/>
      <c r="T10" s="137"/>
      <c r="U10" s="137"/>
      <c r="V10" s="137"/>
      <c r="W10" s="137"/>
      <c r="X10" s="137"/>
      <c r="Y10" s="137"/>
    </row>
    <row r="11" spans="1:25" x14ac:dyDescent="0.35">
      <c r="A11" t="str">
        <f>Turvallinen_ja_toimintavarma!I14</f>
        <v>Ei kuulu</v>
      </c>
      <c r="B11" t="str">
        <f>Turvallinen_ja_toimintavarma!P14</f>
        <v/>
      </c>
      <c r="C11" s="74">
        <f>Turvallinen_ja_toimintavarma!A14</f>
        <v>4</v>
      </c>
      <c r="D11" t="str">
        <f>Turvallinen_ja_toimintavarma!C14</f>
        <v>A</v>
      </c>
      <c r="E11" t="str">
        <f>IF(ISBLANK(Turvallinen_ja_toimintavarma!K14),"_Otsikkorivi",Turvallinen_ja_toimintavarma!K14)</f>
        <v>Turvallinen ja toimintavarma</v>
      </c>
      <c r="F11" t="str">
        <f>Turvallinen_ja_toimintavarma!L14</f>
        <v>1. Laadukas, raakaveden laadun huomioiva, kriteerit täyttävä vedenkäsittelyprosessi</v>
      </c>
      <c r="G11" t="str">
        <f>IF(ISBLANK(Turvallinen_ja_toimintavarma!R14),"Otsikkorivi",Turvallinen_ja_toimintavarma!R14)</f>
        <v>1.9 Talousveden käsittelyprosessin kriittisten toimintojen toimivuutta on varmistettu kahdentamalla (esim. laitteet, vaihtoehtoinen käsittelyprosessi/kemikaali/toimittaja)</v>
      </c>
      <c r="H11" t="str">
        <f>IF(Turvallinen_ja_toimintavarma!N14="x","Kyllä","Ei")</f>
        <v>Kyllä</v>
      </c>
      <c r="I11" t="str">
        <f>IF(ISBLANK(Turvallinen_ja_toimintavarma!S14),"",Turvallinen_ja_toimintavarma!S14)</f>
        <v/>
      </c>
      <c r="J11">
        <f>LV!$B$10</f>
        <v>0</v>
      </c>
      <c r="K11" t="str">
        <f>LV!$I$18</f>
        <v/>
      </c>
      <c r="L11" t="str">
        <f>IF(ISBLANK(Lähtötiedot!$O$18),"",Lähtötiedot!$O$18)</f>
        <v/>
      </c>
      <c r="M11" t="str">
        <f>IF(ISBLANK(Lähtötiedot!$O$16),"",Lähtötiedot!$O$16)</f>
        <v/>
      </c>
      <c r="N11" s="73" t="str">
        <f>IF(ISBLANK(Lähtötiedot!$O$15),"",Lähtötiedot!$O$15)</f>
        <v/>
      </c>
      <c r="O11" s="73"/>
      <c r="P11" s="137"/>
      <c r="Q11" s="137"/>
      <c r="R11" s="137"/>
      <c r="S11" s="137"/>
      <c r="T11" s="137"/>
      <c r="U11" s="137"/>
      <c r="V11" s="137"/>
      <c r="W11" s="137"/>
      <c r="X11" s="137"/>
      <c r="Y11" s="137"/>
    </row>
    <row r="12" spans="1:25" x14ac:dyDescent="0.35">
      <c r="A12" t="str">
        <f>Turvallinen_ja_toimintavarma!I15</f>
        <v>Ei kuulu</v>
      </c>
      <c r="B12" t="str">
        <f>Turvallinen_ja_toimintavarma!P15</f>
        <v/>
      </c>
      <c r="C12" s="74">
        <f>Turvallinen_ja_toimintavarma!A15</f>
        <v>4</v>
      </c>
      <c r="D12" t="str">
        <f>Turvallinen_ja_toimintavarma!C15</f>
        <v>B</v>
      </c>
      <c r="E12" t="str">
        <f>IF(ISBLANK(Turvallinen_ja_toimintavarma!K15),"_Otsikkorivi",Turvallinen_ja_toimintavarma!K15)</f>
        <v>Turvallinen ja toimintavarma</v>
      </c>
      <c r="F12" t="str">
        <f>Turvallinen_ja_toimintavarma!L15</f>
        <v>1. Laadukas, raakaveden laadun huomioiva, kriteerit täyttävä vedenkäsittelyprosessi</v>
      </c>
      <c r="G12" t="str">
        <f>IF(ISBLANK(Turvallinen_ja_toimintavarma!R15),"Otsikkorivi",Turvallinen_ja_toimintavarma!R15)</f>
        <v>1.10. Vesilaitoksella on käytössä omassa tai ulkopuolisen hallinnassa oleva verkostomalli vedenjakelun varmistamiseen ja kehittämiseen.</v>
      </c>
      <c r="H12" t="str">
        <f>IF(Turvallinen_ja_toimintavarma!N15="x","Kyllä","Ei")</f>
        <v>Ei</v>
      </c>
      <c r="I12" t="str">
        <f>IF(ISBLANK(Turvallinen_ja_toimintavarma!S15),"",Turvallinen_ja_toimintavarma!S15)</f>
        <v/>
      </c>
      <c r="J12">
        <f>LV!$B$10</f>
        <v>0</v>
      </c>
      <c r="K12" t="str">
        <f>LV!$I$18</f>
        <v/>
      </c>
      <c r="L12" t="str">
        <f>IF(ISBLANK(Lähtötiedot!$O$18),"",Lähtötiedot!$O$18)</f>
        <v/>
      </c>
      <c r="M12" t="str">
        <f>IF(ISBLANK(Lähtötiedot!$O$16),"",Lähtötiedot!$O$16)</f>
        <v/>
      </c>
      <c r="N12" s="73" t="str">
        <f>IF(ISBLANK(Lähtötiedot!$O$15),"",Lähtötiedot!$O$15)</f>
        <v/>
      </c>
      <c r="O12" s="73"/>
      <c r="P12" s="137"/>
      <c r="Q12" s="137"/>
      <c r="R12" s="137"/>
      <c r="S12" s="137"/>
      <c r="T12" s="137"/>
      <c r="U12" s="137"/>
      <c r="V12" s="137"/>
      <c r="W12" s="137"/>
      <c r="X12" s="137"/>
      <c r="Y12" s="137"/>
    </row>
    <row r="13" spans="1:25" x14ac:dyDescent="0.35">
      <c r="A13" t="str">
        <f>Turvallinen_ja_toimintavarma!I16</f>
        <v>Ei kuulu</v>
      </c>
      <c r="B13" t="str">
        <f>Turvallinen_ja_toimintavarma!P16</f>
        <v/>
      </c>
      <c r="C13" s="74">
        <f>Turvallinen_ja_toimintavarma!A16</f>
        <v>5</v>
      </c>
      <c r="D13" t="str">
        <f>Turvallinen_ja_toimintavarma!C16</f>
        <v>A</v>
      </c>
      <c r="E13" t="str">
        <f>IF(ISBLANK(Turvallinen_ja_toimintavarma!K16),"_Otsikkorivi",Turvallinen_ja_toimintavarma!K16)</f>
        <v>Turvallinen ja toimintavarma</v>
      </c>
      <c r="F13" t="str">
        <f>Turvallinen_ja_toimintavarma!L16</f>
        <v>1. Laadukas, raakaveden laadun huomioiva, kriteerit täyttävä vedenkäsittelyprosessi</v>
      </c>
      <c r="G13" t="str">
        <f>IF(ISBLANK(Turvallinen_ja_toimintavarma!R16),"Otsikkorivi",Turvallinen_ja_toimintavarma!R16)</f>
        <v xml:space="preserve">1.11 Talousveden käsittelyprosessin poistoteho on kemiallisen saastumisen tilanteessa arvioitu ja prosessia voidaan tarvittaessa tehostaa. (esim. aktiivihiilen syöttö) </v>
      </c>
      <c r="H13" t="str">
        <f>IF(Turvallinen_ja_toimintavarma!N16="x","Kyllä","Ei")</f>
        <v>Ei</v>
      </c>
      <c r="I13" t="str">
        <f>IF(ISBLANK(Turvallinen_ja_toimintavarma!S16),"",Turvallinen_ja_toimintavarma!S16)</f>
        <v/>
      </c>
      <c r="J13">
        <f>LV!$B$10</f>
        <v>0</v>
      </c>
      <c r="K13" t="str">
        <f>LV!$I$18</f>
        <v/>
      </c>
      <c r="L13" t="str">
        <f>IF(ISBLANK(Lähtötiedot!$O$18),"",Lähtötiedot!$O$18)</f>
        <v/>
      </c>
      <c r="M13" t="str">
        <f>IF(ISBLANK(Lähtötiedot!$O$16),"",Lähtötiedot!$O$16)</f>
        <v/>
      </c>
      <c r="N13" s="73" t="str">
        <f>IF(ISBLANK(Lähtötiedot!$O$15),"",Lähtötiedot!$O$15)</f>
        <v/>
      </c>
      <c r="O13" s="73"/>
      <c r="P13" s="137"/>
      <c r="Q13" s="137"/>
      <c r="R13" s="137"/>
      <c r="S13" s="137"/>
      <c r="T13" s="137"/>
      <c r="U13" s="137"/>
      <c r="V13" s="137"/>
      <c r="W13" s="137"/>
      <c r="X13" s="137"/>
      <c r="Y13" s="137"/>
    </row>
    <row r="14" spans="1:25" hidden="1" x14ac:dyDescent="0.35">
      <c r="A14" t="str">
        <f>Turvallinen_ja_toimintavarma!I17</f>
        <v>Ei kuulu</v>
      </c>
      <c r="B14" t="str">
        <f>Turvallinen_ja_toimintavarma!P17</f>
        <v/>
      </c>
      <c r="C14" s="74" t="str">
        <f>Turvallinen_ja_toimintavarma!A17</f>
        <v xml:space="preserve">1,2,3,4 </v>
      </c>
      <c r="D14" t="str">
        <f>Turvallinen_ja_toimintavarma!C17</f>
        <v>A,B,C,D</v>
      </c>
      <c r="E14" t="str">
        <f>IF(ISBLANK(Turvallinen_ja_toimintavarma!K17),"_Otsikkorivi",Turvallinen_ja_toimintavarma!K17)</f>
        <v>Turvallinen ja toimintavarma</v>
      </c>
      <c r="F14" t="str">
        <f>Turvallinen_ja_toimintavarma!L17</f>
        <v>_Otsikkorivi</v>
      </c>
      <c r="G14" t="str">
        <f>IF(ISBLANK(Turvallinen_ja_toimintavarma!R17),"Otsikkorivi",Turvallinen_ja_toimintavarma!R17)</f>
        <v>2. Ajantasainen varautumis- ja valmiussuunnittelu ja yhteistyö muiden toimijoiden kanssa</v>
      </c>
      <c r="H14" t="str">
        <f>IF(Turvallinen_ja_toimintavarma!N17="x","Kyllä","Ei")</f>
        <v>Ei</v>
      </c>
      <c r="I14" t="str">
        <f>IF(ISBLANK(Turvallinen_ja_toimintavarma!S17),"",Turvallinen_ja_toimintavarma!S17)</f>
        <v/>
      </c>
      <c r="J14">
        <f>LV!$B$10</f>
        <v>0</v>
      </c>
      <c r="K14" t="str">
        <f>LV!$I$18</f>
        <v/>
      </c>
      <c r="L14" t="str">
        <f>IF(ISBLANK(Lähtötiedot!$O$18),"",Lähtötiedot!$O$18)</f>
        <v/>
      </c>
      <c r="M14" t="str">
        <f>IF(ISBLANK(Lähtötiedot!$O$16),"",Lähtötiedot!$O$16)</f>
        <v/>
      </c>
      <c r="N14" s="73" t="str">
        <f>IF(ISBLANK(Lähtötiedot!$O$15),"",Lähtötiedot!$O$15)</f>
        <v/>
      </c>
      <c r="O14" s="73"/>
      <c r="P14" s="137"/>
      <c r="Q14" s="137"/>
      <c r="R14" s="137"/>
      <c r="S14" s="137"/>
      <c r="T14" s="137"/>
      <c r="U14" s="137"/>
      <c r="V14" s="137"/>
      <c r="W14" s="137"/>
      <c r="X14" s="137"/>
      <c r="Y14" s="137"/>
    </row>
    <row r="15" spans="1:25" x14ac:dyDescent="0.35">
      <c r="A15" t="str">
        <f>Turvallinen_ja_toimintavarma!I18</f>
        <v>Ei kuulu</v>
      </c>
      <c r="B15" t="str">
        <f>Turvallinen_ja_toimintavarma!P18</f>
        <v/>
      </c>
      <c r="C15" s="74" t="str">
        <f>Turvallinen_ja_toimintavarma!A18</f>
        <v>1,2,3,4</v>
      </c>
      <c r="D15" t="str">
        <f>Turvallinen_ja_toimintavarma!C18</f>
        <v>A,B,C,D</v>
      </c>
      <c r="E15" t="str">
        <f>IF(ISBLANK(Turvallinen_ja_toimintavarma!K18),"_Otsikkorivi",Turvallinen_ja_toimintavarma!K18)</f>
        <v>Turvallinen ja toimintavarma</v>
      </c>
      <c r="F15" t="str">
        <f>Turvallinen_ja_toimintavarma!L18</f>
        <v>2. Ajantasainen varautumis- ja valmiussuunnittelu ja yhteistyö muiden toimijoiden kanssa</v>
      </c>
      <c r="G15" t="str">
        <f>IF(ISBLANK(Turvallinen_ja_toimintavarma!R18),"Otsikkorivi",Turvallinen_ja_toimintavarma!R18)</f>
        <v>2.1 Vesihuoltolaitoksella on vähintään vuosittain arvioitava ja tarvittaessa päivitettävä varautumissuunnitelma</v>
      </c>
      <c r="H15" t="str">
        <f>IF(Turvallinen_ja_toimintavarma!N18="x","Kyllä","Ei")</f>
        <v>Kyllä</v>
      </c>
      <c r="I15" t="str">
        <f>IF(ISBLANK(Turvallinen_ja_toimintavarma!S18),"",Turvallinen_ja_toimintavarma!S18)</f>
        <v/>
      </c>
      <c r="J15">
        <f>LV!$B$10</f>
        <v>0</v>
      </c>
      <c r="K15" t="str">
        <f>LV!$I$18</f>
        <v/>
      </c>
      <c r="L15" t="str">
        <f>IF(ISBLANK(Lähtötiedot!$O$18),"",Lähtötiedot!$O$18)</f>
        <v/>
      </c>
      <c r="M15" t="str">
        <f>IF(ISBLANK(Lähtötiedot!$O$16),"",Lähtötiedot!$O$16)</f>
        <v/>
      </c>
      <c r="N15" s="73" t="str">
        <f>IF(ISBLANK(Lähtötiedot!$O$15),"",Lähtötiedot!$O$15)</f>
        <v/>
      </c>
      <c r="O15" s="73"/>
      <c r="P15" s="137"/>
      <c r="Q15" s="137"/>
      <c r="R15" s="137"/>
      <c r="S15" s="137"/>
      <c r="T15" s="137"/>
      <c r="U15" s="137"/>
      <c r="V15" s="137"/>
      <c r="W15" s="137"/>
      <c r="X15" s="137"/>
      <c r="Y15" s="137"/>
    </row>
    <row r="16" spans="1:25" x14ac:dyDescent="0.35">
      <c r="A16" t="str">
        <f>Turvallinen_ja_toimintavarma!I19</f>
        <v>Ei kuulu</v>
      </c>
      <c r="B16" t="str">
        <f>Turvallinen_ja_toimintavarma!P19</f>
        <v/>
      </c>
      <c r="C16" s="74" t="str">
        <f>Turvallinen_ja_toimintavarma!A19</f>
        <v>1,2,3,4</v>
      </c>
      <c r="D16" t="str">
        <f>Turvallinen_ja_toimintavarma!C19</f>
        <v>A,B</v>
      </c>
      <c r="E16" t="str">
        <f>IF(ISBLANK(Turvallinen_ja_toimintavarma!K19),"_Otsikkorivi",Turvallinen_ja_toimintavarma!K19)</f>
        <v>Turvallinen ja toimintavarma</v>
      </c>
      <c r="F16" t="str">
        <f>Turvallinen_ja_toimintavarma!L19</f>
        <v>2. Ajantasainen varautumis- ja valmiussuunnittelu ja yhteistyö muiden toimijoiden kanssa</v>
      </c>
      <c r="G16" t="str">
        <f>IF(ISBLANK(Turvallinen_ja_toimintavarma!R19),"Otsikkorivi",Turvallinen_ja_toimintavarma!R19)</f>
        <v>2.2 Talousveden laaturiskejä arvioidaan ja riskienhallintaa kehitetään ja sen toimivuutta seurataan systemaattisesti esim. WSP-työkalun avulla</v>
      </c>
      <c r="H16" t="str">
        <f>IF(Turvallinen_ja_toimintavarma!N19="x","Kyllä","Ei")</f>
        <v>Kyllä</v>
      </c>
      <c r="I16" t="str">
        <f>IF(ISBLANK(Turvallinen_ja_toimintavarma!S19),"",Turvallinen_ja_toimintavarma!S19)</f>
        <v/>
      </c>
      <c r="J16">
        <f>LV!$B$10</f>
        <v>0</v>
      </c>
      <c r="K16" t="str">
        <f>LV!$I$18</f>
        <v/>
      </c>
      <c r="L16" t="str">
        <f>IF(ISBLANK(Lähtötiedot!$O$18),"",Lähtötiedot!$O$18)</f>
        <v/>
      </c>
      <c r="M16" t="str">
        <f>IF(ISBLANK(Lähtötiedot!$O$16),"",Lähtötiedot!$O$16)</f>
        <v/>
      </c>
      <c r="N16" s="73" t="str">
        <f>IF(ISBLANK(Lähtötiedot!$O$15),"",Lähtötiedot!$O$15)</f>
        <v/>
      </c>
      <c r="O16" s="73"/>
      <c r="P16" s="137"/>
      <c r="Q16" s="137"/>
      <c r="R16" s="137"/>
      <c r="S16" s="137"/>
      <c r="T16" s="137"/>
      <c r="U16" s="137"/>
      <c r="V16" s="137"/>
      <c r="W16" s="137"/>
      <c r="X16" s="137"/>
      <c r="Y16" s="137"/>
    </row>
    <row r="17" spans="1:25" x14ac:dyDescent="0.35">
      <c r="A17" t="str">
        <f>Turvallinen_ja_toimintavarma!I20</f>
        <v>Ei kuulu</v>
      </c>
      <c r="B17" t="str">
        <f>Turvallinen_ja_toimintavarma!P20</f>
        <v/>
      </c>
      <c r="C17" s="74" t="str">
        <f>Turvallinen_ja_toimintavarma!A20</f>
        <v>1,2,3,4</v>
      </c>
      <c r="D17" t="str">
        <f>Turvallinen_ja_toimintavarma!C20</f>
        <v>C,D</v>
      </c>
      <c r="E17" t="str">
        <f>IF(ISBLANK(Turvallinen_ja_toimintavarma!K20),"_Otsikkorivi",Turvallinen_ja_toimintavarma!K20)</f>
        <v>Turvallinen ja toimintavarma</v>
      </c>
      <c r="F17" t="str">
        <f>Turvallinen_ja_toimintavarma!L20</f>
        <v>2. Ajantasainen varautumis- ja valmiussuunnittelu ja yhteistyö muiden toimijoiden kanssa</v>
      </c>
      <c r="G17" t="str">
        <f>IF(ISBLANK(Turvallinen_ja_toimintavarma!R20),"Otsikkorivi",Turvallinen_ja_toimintavarma!R20)</f>
        <v>2.3 Viemäröinnin ja jätevedenpuhdistuksen ympäristö- ja terveysriskejä arvioidaan ja riskienhallintaa kehitetään systemaattisesti esim. SSP-työkalun avulla</v>
      </c>
      <c r="H17" t="str">
        <f>IF(Turvallinen_ja_toimintavarma!N20="x","Kyllä","Ei")</f>
        <v>Kyllä</v>
      </c>
      <c r="I17" t="str">
        <f>IF(ISBLANK(Turvallinen_ja_toimintavarma!S20),"",Turvallinen_ja_toimintavarma!S20)</f>
        <v/>
      </c>
      <c r="J17">
        <f>LV!$B$10</f>
        <v>0</v>
      </c>
      <c r="K17" t="str">
        <f>LV!$I$18</f>
        <v/>
      </c>
      <c r="L17" t="str">
        <f>IF(ISBLANK(Lähtötiedot!$O$18),"",Lähtötiedot!$O$18)</f>
        <v/>
      </c>
      <c r="M17" t="str">
        <f>IF(ISBLANK(Lähtötiedot!$O$16),"",Lähtötiedot!$O$16)</f>
        <v/>
      </c>
      <c r="N17" s="73" t="str">
        <f>IF(ISBLANK(Lähtötiedot!$O$15),"",Lähtötiedot!$O$15)</f>
        <v/>
      </c>
      <c r="O17" s="73"/>
      <c r="P17" s="137"/>
      <c r="Q17" s="137"/>
      <c r="R17" s="137"/>
      <c r="S17" s="137"/>
      <c r="T17" s="137"/>
      <c r="U17" s="137"/>
      <c r="V17" s="137"/>
      <c r="W17" s="137"/>
      <c r="X17" s="137"/>
      <c r="Y17" s="137"/>
    </row>
    <row r="18" spans="1:25" x14ac:dyDescent="0.35">
      <c r="A18" t="str">
        <f>Turvallinen_ja_toimintavarma!I21</f>
        <v>Ei kuulu</v>
      </c>
      <c r="B18" t="str">
        <f>Turvallinen_ja_toimintavarma!P21</f>
        <v/>
      </c>
      <c r="C18" s="74" t="str">
        <f>Turvallinen_ja_toimintavarma!A21</f>
        <v>1,2,3,4</v>
      </c>
      <c r="D18" t="str">
        <f>Turvallinen_ja_toimintavarma!C21</f>
        <v>A,B,C,D</v>
      </c>
      <c r="E18" t="str">
        <f>IF(ISBLANK(Turvallinen_ja_toimintavarma!K21),"_Otsikkorivi",Turvallinen_ja_toimintavarma!K21)</f>
        <v>Turvallinen ja toimintavarma</v>
      </c>
      <c r="F18" t="str">
        <f>Turvallinen_ja_toimintavarma!L21</f>
        <v>2. Ajantasainen varautumis- ja valmiussuunnittelu ja yhteistyö muiden toimijoiden kanssa</v>
      </c>
      <c r="G18" t="str">
        <f>IF(ISBLANK(Turvallinen_ja_toimintavarma!R21),"Otsikkorivi",Turvallinen_ja_toimintavarma!R21)</f>
        <v>2.4 Vesihuoltolaitoksella on tehty häiriötilanneharjoittelu vuoden sisällä yhdessä sidosryhmien kanssa (tai 3 vuoden sisällä jos ei omaa vedentuotantoa)</v>
      </c>
      <c r="H18" t="str">
        <f>IF(Turvallinen_ja_toimintavarma!N21="x","Kyllä","Ei")</f>
        <v>Kyllä</v>
      </c>
      <c r="I18" t="str">
        <f>IF(ISBLANK(Turvallinen_ja_toimintavarma!S21),"",Turvallinen_ja_toimintavarma!S21)</f>
        <v/>
      </c>
      <c r="J18">
        <f>LV!$B$10</f>
        <v>0</v>
      </c>
      <c r="K18" t="str">
        <f>LV!$I$18</f>
        <v/>
      </c>
      <c r="L18" t="str">
        <f>IF(ISBLANK(Lähtötiedot!$O$18),"",Lähtötiedot!$O$18)</f>
        <v/>
      </c>
      <c r="M18" t="str">
        <f>IF(ISBLANK(Lähtötiedot!$O$16),"",Lähtötiedot!$O$16)</f>
        <v/>
      </c>
      <c r="N18" s="73" t="str">
        <f>IF(ISBLANK(Lähtötiedot!$O$15),"",Lähtötiedot!$O$15)</f>
        <v/>
      </c>
      <c r="O18" s="73"/>
      <c r="P18" s="137"/>
      <c r="Q18" s="137"/>
      <c r="R18" s="137"/>
      <c r="S18" s="137"/>
      <c r="T18" s="137"/>
      <c r="U18" s="137"/>
      <c r="V18" s="137"/>
      <c r="W18" s="137"/>
      <c r="X18" s="137"/>
      <c r="Y18" s="137"/>
    </row>
    <row r="19" spans="1:25" x14ac:dyDescent="0.35">
      <c r="A19" t="str">
        <f>Turvallinen_ja_toimintavarma!I22</f>
        <v>Ei kuulu</v>
      </c>
      <c r="B19" t="str">
        <f>Turvallinen_ja_toimintavarma!P22</f>
        <v/>
      </c>
      <c r="C19" s="74" t="str">
        <f>Turvallinen_ja_toimintavarma!A22</f>
        <v>1,2,3,4</v>
      </c>
      <c r="D19" t="str">
        <f>Turvallinen_ja_toimintavarma!C22</f>
        <v>A,B,C,D</v>
      </c>
      <c r="E19" t="str">
        <f>IF(ISBLANK(Turvallinen_ja_toimintavarma!K22),"_Otsikkorivi",Turvallinen_ja_toimintavarma!K22)</f>
        <v>Turvallinen ja toimintavarma</v>
      </c>
      <c r="F19" t="str">
        <f>Turvallinen_ja_toimintavarma!L22</f>
        <v>2. Ajantasainen varautumis- ja valmiussuunnittelu ja yhteistyö muiden toimijoiden kanssa</v>
      </c>
      <c r="G19" t="str">
        <f>IF(ISBLANK(Turvallinen_ja_toimintavarma!R22),"Otsikkorivi",Turvallinen_ja_toimintavarma!R22)</f>
        <v>2.5 Vesihuoltopalvelun jatkuvuuden kannalta kriittiset perustoiminnot (esim. veden hankinta, veden käsittely, viemäröinti, jäteveden käsittely jne.) on tunnistettu.</v>
      </c>
      <c r="H19" t="str">
        <f>IF(Turvallinen_ja_toimintavarma!N22="x","Kyllä","Ei")</f>
        <v>Kyllä</v>
      </c>
      <c r="I19" t="str">
        <f>IF(ISBLANK(Turvallinen_ja_toimintavarma!S22),"",Turvallinen_ja_toimintavarma!S22)</f>
        <v/>
      </c>
      <c r="J19">
        <f>LV!$B$10</f>
        <v>0</v>
      </c>
      <c r="K19" t="str">
        <f>LV!$I$18</f>
        <v/>
      </c>
      <c r="L19" t="str">
        <f>IF(ISBLANK(Lähtötiedot!$O$18),"",Lähtötiedot!$O$18)</f>
        <v/>
      </c>
      <c r="M19" t="str">
        <f>IF(ISBLANK(Lähtötiedot!$O$16),"",Lähtötiedot!$O$16)</f>
        <v/>
      </c>
      <c r="N19" s="73" t="str">
        <f>IF(ISBLANK(Lähtötiedot!$O$15),"",Lähtötiedot!$O$15)</f>
        <v/>
      </c>
      <c r="O19" s="73"/>
      <c r="P19" s="137"/>
      <c r="Q19" s="137"/>
      <c r="R19" s="137"/>
      <c r="S19" s="137"/>
      <c r="T19" s="137"/>
      <c r="U19" s="137"/>
      <c r="V19" s="137"/>
      <c r="W19" s="137"/>
      <c r="X19" s="137"/>
      <c r="Y19" s="137"/>
    </row>
    <row r="20" spans="1:25" x14ac:dyDescent="0.35">
      <c r="A20" t="str">
        <f>Turvallinen_ja_toimintavarma!I23</f>
        <v>Ei kuulu</v>
      </c>
      <c r="B20" t="str">
        <f>Turvallinen_ja_toimintavarma!P23</f>
        <v/>
      </c>
      <c r="C20" s="74" t="str">
        <f>Turvallinen_ja_toimintavarma!A23</f>
        <v>1,2,3,4</v>
      </c>
      <c r="D20" t="str">
        <f>Turvallinen_ja_toimintavarma!C23</f>
        <v>A,B</v>
      </c>
      <c r="E20" t="str">
        <f>IF(ISBLANK(Turvallinen_ja_toimintavarma!K23),"_Otsikkorivi",Turvallinen_ja_toimintavarma!K23)</f>
        <v>Turvallinen ja toimintavarma</v>
      </c>
      <c r="F20" t="str">
        <f>Turvallinen_ja_toimintavarma!L23</f>
        <v>2. Ajantasainen varautumis- ja valmiussuunnittelu ja yhteistyö muiden toimijoiden kanssa</v>
      </c>
      <c r="G20" t="str">
        <f>IF(ISBLANK(Turvallinen_ja_toimintavarma!R23),"Otsikkorivi",Turvallinen_ja_toimintavarma!R23)</f>
        <v>2.6 Varavedenottamot, varavesilaitokset ja/tai varavesiyhteydet ovat joko jatkuvassa käytössä tai niiden toimintavalmius varmistetaan (esim. näytteenotoin ja koekäyttämällä) säännöllisesti vähintään vuosittain.</v>
      </c>
      <c r="H20" t="str">
        <f>IF(Turvallinen_ja_toimintavarma!N23="x","Kyllä","Ei")</f>
        <v>Kyllä</v>
      </c>
      <c r="I20" t="str">
        <f>IF(ISBLANK(Turvallinen_ja_toimintavarma!S23),"",Turvallinen_ja_toimintavarma!S23)</f>
        <v/>
      </c>
      <c r="J20">
        <f>LV!$B$10</f>
        <v>0</v>
      </c>
      <c r="K20" t="str">
        <f>LV!$I$18</f>
        <v/>
      </c>
      <c r="L20" t="str">
        <f>IF(ISBLANK(Lähtötiedot!$O$18),"",Lähtötiedot!$O$18)</f>
        <v/>
      </c>
      <c r="M20" t="str">
        <f>IF(ISBLANK(Lähtötiedot!$O$16),"",Lähtötiedot!$O$16)</f>
        <v/>
      </c>
      <c r="N20" s="73" t="str">
        <f>IF(ISBLANK(Lähtötiedot!$O$15),"",Lähtötiedot!$O$15)</f>
        <v/>
      </c>
      <c r="O20" s="73"/>
      <c r="P20" s="137"/>
      <c r="Q20" s="137"/>
      <c r="R20" s="137"/>
      <c r="S20" s="137"/>
      <c r="T20" s="137"/>
      <c r="U20" s="137"/>
      <c r="V20" s="137"/>
      <c r="W20" s="137"/>
      <c r="X20" s="137"/>
      <c r="Y20" s="137"/>
    </row>
    <row r="21" spans="1:25" x14ac:dyDescent="0.35">
      <c r="A21" t="str">
        <f>Turvallinen_ja_toimintavarma!I24</f>
        <v>Ei kuulu</v>
      </c>
      <c r="B21" t="str">
        <f>Turvallinen_ja_toimintavarma!P24</f>
        <v/>
      </c>
      <c r="C21" s="74" t="str">
        <f>Turvallinen_ja_toimintavarma!A24</f>
        <v>1,2,3,4</v>
      </c>
      <c r="D21" t="str">
        <f>Turvallinen_ja_toimintavarma!C24</f>
        <v>A,B,C,D</v>
      </c>
      <c r="E21" t="str">
        <f>IF(ISBLANK(Turvallinen_ja_toimintavarma!K24),"_Otsikkorivi",Turvallinen_ja_toimintavarma!K24)</f>
        <v>Turvallinen ja toimintavarma</v>
      </c>
      <c r="F21" t="str">
        <f>Turvallinen_ja_toimintavarma!L24</f>
        <v>2. Ajantasainen varautumis- ja valmiussuunnittelu ja yhteistyö muiden toimijoiden kanssa</v>
      </c>
      <c r="G21" t="str">
        <f>IF(ISBLANK(Turvallinen_ja_toimintavarma!R24),"Otsikkorivi",Turvallinen_ja_toimintavarma!R24)</f>
        <v>2.7 Vesihuoltolaitos hallitsee riskiperusteisesti ja oikeasuhtaisesti ilmastonmuutoksen toiminnalleen aiheuttamia riskejä.</v>
      </c>
      <c r="H21" t="str">
        <f>IF(Turvallinen_ja_toimintavarma!N24="x","Kyllä","Ei")</f>
        <v>Kyllä</v>
      </c>
      <c r="I21" t="str">
        <f>IF(ISBLANK(Turvallinen_ja_toimintavarma!S24),"",Turvallinen_ja_toimintavarma!S24)</f>
        <v/>
      </c>
      <c r="J21">
        <f>LV!$B$10</f>
        <v>0</v>
      </c>
      <c r="K21" t="str">
        <f>LV!$I$18</f>
        <v/>
      </c>
      <c r="L21" t="str">
        <f>IF(ISBLANK(Lähtötiedot!$O$18),"",Lähtötiedot!$O$18)</f>
        <v/>
      </c>
      <c r="M21" t="str">
        <f>IF(ISBLANK(Lähtötiedot!$O$16),"",Lähtötiedot!$O$16)</f>
        <v/>
      </c>
      <c r="N21" s="73" t="str">
        <f>IF(ISBLANK(Lähtötiedot!$O$15),"",Lähtötiedot!$O$15)</f>
        <v/>
      </c>
      <c r="O21" s="73"/>
      <c r="P21" s="137"/>
      <c r="Q21" s="137"/>
      <c r="R21" s="137"/>
      <c r="S21" s="137"/>
      <c r="T21" s="137"/>
      <c r="U21" s="137"/>
      <c r="V21" s="137"/>
      <c r="W21" s="137"/>
      <c r="X21" s="137"/>
      <c r="Y21" s="137"/>
    </row>
    <row r="22" spans="1:25" x14ac:dyDescent="0.35">
      <c r="A22" t="str">
        <f>Turvallinen_ja_toimintavarma!I25</f>
        <v>Ei kuulu</v>
      </c>
      <c r="B22" t="str">
        <f>Turvallinen_ja_toimintavarma!P25</f>
        <v/>
      </c>
      <c r="C22" s="74" t="str">
        <f>Turvallinen_ja_toimintavarma!A25</f>
        <v>1,2,3,4</v>
      </c>
      <c r="D22" t="str">
        <f>Turvallinen_ja_toimintavarma!C25</f>
        <v>A,B,C,D</v>
      </c>
      <c r="E22" t="str">
        <f>IF(ISBLANK(Turvallinen_ja_toimintavarma!K25),"_Otsikkorivi",Turvallinen_ja_toimintavarma!K25)</f>
        <v>Turvallinen ja toimintavarma</v>
      </c>
      <c r="F22" t="str">
        <f>Turvallinen_ja_toimintavarma!L25</f>
        <v>2. Ajantasainen varautumis- ja valmiussuunnittelu ja yhteistyö muiden toimijoiden kanssa</v>
      </c>
      <c r="G22" t="str">
        <f>IF(ISBLANK(Turvallinen_ja_toimintavarma!R25),"Otsikkorivi",Turvallinen_ja_toimintavarma!R25)</f>
        <v xml:space="preserve">2.8 Toiminnan kannalta kriittisimmät automaatio- ja ICT-järjestelmät on tunnistettu ja niiden tietoturvaa hallitaan riskiperusteisesti. </v>
      </c>
      <c r="H22" t="str">
        <f>IF(Turvallinen_ja_toimintavarma!N25="x","Kyllä","Ei")</f>
        <v>Kyllä</v>
      </c>
      <c r="I22" t="str">
        <f>IF(ISBLANK(Turvallinen_ja_toimintavarma!S25),"",Turvallinen_ja_toimintavarma!S25)</f>
        <v/>
      </c>
      <c r="J22">
        <f>LV!$B$10</f>
        <v>0</v>
      </c>
      <c r="K22" t="str">
        <f>LV!$I$18</f>
        <v/>
      </c>
      <c r="L22" t="str">
        <f>IF(ISBLANK(Lähtötiedot!$O$18),"",Lähtötiedot!$O$18)</f>
        <v/>
      </c>
      <c r="M22" t="str">
        <f>IF(ISBLANK(Lähtötiedot!$O$16),"",Lähtötiedot!$O$16)</f>
        <v/>
      </c>
      <c r="N22" s="73" t="str">
        <f>IF(ISBLANK(Lähtötiedot!$O$15),"",Lähtötiedot!$O$15)</f>
        <v/>
      </c>
      <c r="O22" s="73"/>
      <c r="P22" s="137"/>
      <c r="Q22" s="137"/>
      <c r="R22" s="137"/>
      <c r="S22" s="137"/>
      <c r="T22" s="137"/>
      <c r="U22" s="137"/>
      <c r="V22" s="137"/>
      <c r="W22" s="137"/>
      <c r="X22" s="137"/>
      <c r="Y22" s="137"/>
    </row>
    <row r="23" spans="1:25" x14ac:dyDescent="0.35">
      <c r="A23" t="str">
        <f>Turvallinen_ja_toimintavarma!I26</f>
        <v>Ei kuulu</v>
      </c>
      <c r="B23" t="str">
        <f>Turvallinen_ja_toimintavarma!P26</f>
        <v/>
      </c>
      <c r="C23" s="74" t="str">
        <f>Turvallinen_ja_toimintavarma!A26</f>
        <v>1,2,3,4</v>
      </c>
      <c r="D23" t="str">
        <f>Turvallinen_ja_toimintavarma!C26</f>
        <v>A,B,C,D</v>
      </c>
      <c r="E23" t="str">
        <f>IF(ISBLANK(Turvallinen_ja_toimintavarma!K26),"_Otsikkorivi",Turvallinen_ja_toimintavarma!K26)</f>
        <v>Turvallinen ja toimintavarma</v>
      </c>
      <c r="F23" t="str">
        <f>Turvallinen_ja_toimintavarma!L26</f>
        <v>2. Ajantasainen varautumis- ja valmiussuunnittelu ja yhteistyö muiden toimijoiden kanssa</v>
      </c>
      <c r="G23" t="str">
        <f>IF(ISBLANK(Turvallinen_ja_toimintavarma!R26),"Otsikkorivi",Turvallinen_ja_toimintavarma!R26)</f>
        <v>2.9 Vesihuoltolaitos pitää henkilöstön VAP-varaukset ajan tasalla.</v>
      </c>
      <c r="H23" t="str">
        <f>IF(Turvallinen_ja_toimintavarma!N26="x","Kyllä","Ei")</f>
        <v>Kyllä</v>
      </c>
      <c r="I23" t="str">
        <f>IF(ISBLANK(Turvallinen_ja_toimintavarma!S26),"",Turvallinen_ja_toimintavarma!S26)</f>
        <v/>
      </c>
      <c r="J23">
        <f>LV!$B$10</f>
        <v>0</v>
      </c>
      <c r="K23" t="str">
        <f>LV!$I$18</f>
        <v/>
      </c>
      <c r="L23" t="str">
        <f>IF(ISBLANK(Lähtötiedot!$O$18),"",Lähtötiedot!$O$18)</f>
        <v/>
      </c>
      <c r="M23" t="str">
        <f>IF(ISBLANK(Lähtötiedot!$O$16),"",Lähtötiedot!$O$16)</f>
        <v/>
      </c>
      <c r="N23" s="73" t="str">
        <f>IF(ISBLANK(Lähtötiedot!$O$15),"",Lähtötiedot!$O$15)</f>
        <v/>
      </c>
      <c r="O23" s="73"/>
    </row>
    <row r="24" spans="1:25" x14ac:dyDescent="0.35">
      <c r="A24" t="str">
        <f>Turvallinen_ja_toimintavarma!I27</f>
        <v>Ei kuulu</v>
      </c>
      <c r="B24" t="str">
        <f>Turvallinen_ja_toimintavarma!P27</f>
        <v/>
      </c>
      <c r="C24" s="74" t="str">
        <f>Turvallinen_ja_toimintavarma!A27</f>
        <v>1,2,3,4</v>
      </c>
      <c r="D24" t="str">
        <f>Turvallinen_ja_toimintavarma!C27</f>
        <v>A,B,C,D</v>
      </c>
      <c r="E24" t="str">
        <f>IF(ISBLANK(Turvallinen_ja_toimintavarma!K27),"_Otsikkorivi",Turvallinen_ja_toimintavarma!K27)</f>
        <v>Turvallinen ja toimintavarma</v>
      </c>
      <c r="F24" t="str">
        <f>Turvallinen_ja_toimintavarma!L27</f>
        <v>2. Ajantasainen varautumis- ja valmiussuunnittelu ja yhteistyö muiden toimijoiden kanssa</v>
      </c>
      <c r="G24" t="str">
        <f>IF(ISBLANK(Turvallinen_ja_toimintavarma!R27),"Otsikkorivi",Turvallinen_ja_toimintavarma!R27)</f>
        <v>2.10 Häiriötilanteisiin varautumisessa tehdään yhteistyötä viranomaisten, kunnan, materiaalitoimittajien, palveluntarjoajien, asiakkaiden ja muiden sidosryhmien kanssa.</v>
      </c>
      <c r="H24" t="str">
        <f>IF(Turvallinen_ja_toimintavarma!N27="x","Kyllä","Ei")</f>
        <v>Kyllä</v>
      </c>
      <c r="I24" t="str">
        <f>IF(ISBLANK(Turvallinen_ja_toimintavarma!S27),"",Turvallinen_ja_toimintavarma!S27)</f>
        <v/>
      </c>
      <c r="J24">
        <f>LV!$B$10</f>
        <v>0</v>
      </c>
      <c r="K24" t="str">
        <f>LV!$I$18</f>
        <v/>
      </c>
      <c r="L24" t="str">
        <f>IF(ISBLANK(Lähtötiedot!$O$18),"",Lähtötiedot!$O$18)</f>
        <v/>
      </c>
      <c r="M24" t="str">
        <f>IF(ISBLANK(Lähtötiedot!$O$16),"",Lähtötiedot!$O$16)</f>
        <v/>
      </c>
      <c r="N24" s="73" t="str">
        <f>IF(ISBLANK(Lähtötiedot!$O$15),"",Lähtötiedot!$O$15)</f>
        <v/>
      </c>
      <c r="O24" s="73"/>
      <c r="P24" s="40"/>
      <c r="Q24" s="40"/>
      <c r="R24" s="40"/>
      <c r="S24" s="40"/>
      <c r="T24" s="40"/>
      <c r="U24" s="40"/>
      <c r="V24" s="40"/>
      <c r="W24" s="40"/>
      <c r="X24" s="40"/>
      <c r="Y24" s="40"/>
    </row>
    <row r="25" spans="1:25" x14ac:dyDescent="0.35">
      <c r="A25" t="str">
        <f>Turvallinen_ja_toimintavarma!I28</f>
        <v>Ei kuulu</v>
      </c>
      <c r="B25" t="str">
        <f>Turvallinen_ja_toimintavarma!P28</f>
        <v/>
      </c>
      <c r="C25" s="74">
        <f>Turvallinen_ja_toimintavarma!A28</f>
        <v>1.2</v>
      </c>
      <c r="D25" t="str">
        <f>Turvallinen_ja_toimintavarma!C28</f>
        <v>A,B</v>
      </c>
      <c r="E25" t="str">
        <f>IF(ISBLANK(Turvallinen_ja_toimintavarma!K28),"_Otsikkorivi",Turvallinen_ja_toimintavarma!K28)</f>
        <v>Turvallinen ja toimintavarma</v>
      </c>
      <c r="F25" t="str">
        <f>Turvallinen_ja_toimintavarma!L28</f>
        <v>2. Ajantasainen varautumis- ja valmiussuunnittelu ja yhteistyö muiden toimijoiden kanssa</v>
      </c>
      <c r="G25" t="str">
        <f>IF(ISBLANK(Turvallinen_ja_toimintavarma!R28),"Otsikkorivi",Turvallinen_ja_toimintavarma!R28)</f>
        <v>2.11 Vesihuoltolaitoksen pääasiallinen varmuusluokka on B (Talousvettä käytettävissä ≥ 60 % normaalista kulutuksesta, mikäli vedenjakelualueen pääasiallista vesilähdettä ei voida käyttää).</v>
      </c>
      <c r="H25" t="str">
        <f>IF(Turvallinen_ja_toimintavarma!N28="x","Kyllä","Ei")</f>
        <v>Ei</v>
      </c>
      <c r="I25" t="str">
        <f>IF(ISBLANK(Turvallinen_ja_toimintavarma!S28),"",Turvallinen_ja_toimintavarma!S28)</f>
        <v/>
      </c>
      <c r="J25">
        <f>LV!$B$10</f>
        <v>0</v>
      </c>
      <c r="K25" t="str">
        <f>LV!$I$18</f>
        <v/>
      </c>
      <c r="L25" t="str">
        <f>IF(ISBLANK(Lähtötiedot!$O$18),"",Lähtötiedot!$O$18)</f>
        <v/>
      </c>
      <c r="M25" t="str">
        <f>IF(ISBLANK(Lähtötiedot!$O$16),"",Lähtötiedot!$O$16)</f>
        <v/>
      </c>
      <c r="N25" s="73" t="str">
        <f>IF(ISBLANK(Lähtötiedot!$O$15),"",Lähtötiedot!$O$15)</f>
        <v/>
      </c>
      <c r="O25" s="73"/>
      <c r="P25" s="40"/>
      <c r="Q25" s="40"/>
      <c r="R25" s="40"/>
      <c r="S25" s="40"/>
      <c r="T25" s="40"/>
      <c r="U25" s="40"/>
      <c r="V25" s="40"/>
      <c r="W25" s="40"/>
      <c r="X25" s="40"/>
      <c r="Y25" s="40"/>
    </row>
    <row r="26" spans="1:25" x14ac:dyDescent="0.35">
      <c r="A26" t="str">
        <f>Turvallinen_ja_toimintavarma!I29</f>
        <v>Ei kuulu</v>
      </c>
      <c r="B26" t="str">
        <f>Turvallinen_ja_toimintavarma!P29</f>
        <v/>
      </c>
      <c r="C26" s="74" t="str">
        <f>Turvallinen_ja_toimintavarma!A29</f>
        <v>3, 4</v>
      </c>
      <c r="D26" t="str">
        <f>Turvallinen_ja_toimintavarma!C29</f>
        <v>A,B</v>
      </c>
      <c r="E26" t="str">
        <f>IF(ISBLANK(Turvallinen_ja_toimintavarma!K29),"_Otsikkorivi",Turvallinen_ja_toimintavarma!K29)</f>
        <v>Turvallinen ja toimintavarma</v>
      </c>
      <c r="F26" t="str">
        <f>Turvallinen_ja_toimintavarma!L29</f>
        <v>2. Ajantasainen varautumis- ja valmiussuunnittelu ja yhteistyö muiden toimijoiden kanssa</v>
      </c>
      <c r="G26" t="str">
        <f>IF(ISBLANK(Turvallinen_ja_toimintavarma!R29),"Otsikkorivi",Turvallinen_ja_toimintavarma!R29)</f>
        <v>2.11 Vesihuoltolaitoksen pääasiallinen varmuusluokka on A (Talousvettä käytettävissä ≥ 90 % normaalista kulutuksesta, mikäli vedenjakelualueen pääasiallista vesilähdettä ei voida käyttää).</v>
      </c>
      <c r="H26" t="str">
        <f>IF(Turvallinen_ja_toimintavarma!N29="x","Kyllä","Ei")</f>
        <v>Kyllä</v>
      </c>
      <c r="I26" t="str">
        <f>IF(ISBLANK(Turvallinen_ja_toimintavarma!S29),"",Turvallinen_ja_toimintavarma!S29)</f>
        <v/>
      </c>
      <c r="J26">
        <f>LV!$B$10</f>
        <v>0</v>
      </c>
      <c r="K26" t="str">
        <f>LV!$I$18</f>
        <v/>
      </c>
      <c r="L26" t="str">
        <f>IF(ISBLANK(Lähtötiedot!$O$18),"",Lähtötiedot!$O$18)</f>
        <v/>
      </c>
      <c r="M26" t="str">
        <f>IF(ISBLANK(Lähtötiedot!$O$16),"",Lähtötiedot!$O$16)</f>
        <v/>
      </c>
      <c r="N26" s="73" t="str">
        <f>IF(ISBLANK(Lähtötiedot!$O$15),"",Lähtötiedot!$O$15)</f>
        <v/>
      </c>
      <c r="O26" s="73"/>
      <c r="P26" s="40"/>
      <c r="Q26" s="40"/>
      <c r="R26" s="40"/>
      <c r="S26" s="40"/>
      <c r="T26" s="40"/>
      <c r="U26" s="40"/>
      <c r="V26" s="40"/>
      <c r="W26" s="40"/>
      <c r="X26" s="40"/>
      <c r="Y26" s="40"/>
    </row>
    <row r="27" spans="1:25" x14ac:dyDescent="0.35">
      <c r="A27" t="str">
        <f>Turvallinen_ja_toimintavarma!I30</f>
        <v>Ei kuulu</v>
      </c>
      <c r="B27" t="str">
        <f>Turvallinen_ja_toimintavarma!P30</f>
        <v/>
      </c>
      <c r="C27" s="74" t="str">
        <f>Turvallinen_ja_toimintavarma!A30</f>
        <v>1,2,3,4</v>
      </c>
      <c r="D27" t="str">
        <f>Turvallinen_ja_toimintavarma!C30</f>
        <v>A,B</v>
      </c>
      <c r="E27" t="str">
        <f>IF(ISBLANK(Turvallinen_ja_toimintavarma!K30),"_Otsikkorivi",Turvallinen_ja_toimintavarma!K30)</f>
        <v>Turvallinen ja toimintavarma</v>
      </c>
      <c r="F27" t="str">
        <f>Turvallinen_ja_toimintavarma!L30</f>
        <v>2. Ajantasainen varautumis- ja valmiussuunnittelu ja yhteistyö muiden toimijoiden kanssa</v>
      </c>
      <c r="G27" t="str">
        <f>IF(ISBLANK(Turvallinen_ja_toimintavarma!R30),"Otsikkorivi",Turvallinen_ja_toimintavarma!R30)</f>
        <v>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v>
      </c>
      <c r="H27" t="str">
        <f>IF(Turvallinen_ja_toimintavarma!N30="x","Kyllä","Ei")</f>
        <v>Kyllä</v>
      </c>
      <c r="I27" t="str">
        <f>IF(ISBLANK(Turvallinen_ja_toimintavarma!S30),"",Turvallinen_ja_toimintavarma!S30)</f>
        <v/>
      </c>
      <c r="J27">
        <f>LV!$B$10</f>
        <v>0</v>
      </c>
      <c r="K27" t="str">
        <f>LV!$I$18</f>
        <v/>
      </c>
      <c r="L27" t="str">
        <f>IF(ISBLANK(Lähtötiedot!$O$18),"",Lähtötiedot!$O$18)</f>
        <v/>
      </c>
      <c r="M27" t="str">
        <f>IF(ISBLANK(Lähtötiedot!$O$16),"",Lähtötiedot!$O$16)</f>
        <v/>
      </c>
      <c r="N27" s="73" t="str">
        <f>IF(ISBLANK(Lähtötiedot!$O$15),"",Lähtötiedot!$O$15)</f>
        <v/>
      </c>
      <c r="O27" s="73"/>
      <c r="P27" s="40"/>
      <c r="Q27" s="40"/>
      <c r="R27" s="40"/>
      <c r="S27" s="40"/>
      <c r="T27" s="40"/>
      <c r="U27" s="40"/>
      <c r="V27" s="40"/>
      <c r="W27" s="40"/>
      <c r="X27" s="40"/>
      <c r="Y27" s="40"/>
    </row>
    <row r="28" spans="1:25" x14ac:dyDescent="0.35">
      <c r="A28" t="str">
        <f>Turvallinen_ja_toimintavarma!I31</f>
        <v>Ei kuulu</v>
      </c>
      <c r="B28" t="str">
        <f>Turvallinen_ja_toimintavarma!P31</f>
        <v/>
      </c>
      <c r="C28" s="74" t="str">
        <f>Turvallinen_ja_toimintavarma!A31</f>
        <v>1,2,3,4</v>
      </c>
      <c r="D28" t="str">
        <f>Turvallinen_ja_toimintavarma!C31</f>
        <v>B,C</v>
      </c>
      <c r="E28" t="str">
        <f>IF(ISBLANK(Turvallinen_ja_toimintavarma!K31),"_Otsikkorivi",Turvallinen_ja_toimintavarma!K31)</f>
        <v>Turvallinen ja toimintavarma</v>
      </c>
      <c r="F28" t="str">
        <f>Turvallinen_ja_toimintavarma!L31</f>
        <v>2. Ajantasainen varautumis- ja valmiussuunnittelu ja yhteistyö muiden toimijoiden kanssa</v>
      </c>
      <c r="G28" t="str">
        <f>IF(ISBLANK(Turvallinen_ja_toimintavarma!R31),"Otsikkorivi",Turvallinen_ja_toimintavarma!R31)</f>
        <v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v>
      </c>
      <c r="H28" t="str">
        <f>IF(Turvallinen_ja_toimintavarma!N31="x","Kyllä","Ei")</f>
        <v>Kyllä</v>
      </c>
      <c r="I28" t="str">
        <f>IF(ISBLANK(Turvallinen_ja_toimintavarma!S31),"",Turvallinen_ja_toimintavarma!S31)</f>
        <v/>
      </c>
      <c r="J28">
        <f>LV!$B$10</f>
        <v>0</v>
      </c>
      <c r="K28" t="str">
        <f>LV!$I$18</f>
        <v/>
      </c>
      <c r="L28" t="str">
        <f>IF(ISBLANK(Lähtötiedot!$O$18),"",Lähtötiedot!$O$18)</f>
        <v/>
      </c>
      <c r="M28" t="str">
        <f>IF(ISBLANK(Lähtötiedot!$O$16),"",Lähtötiedot!$O$16)</f>
        <v/>
      </c>
      <c r="N28" s="73" t="str">
        <f>IF(ISBLANK(Lähtötiedot!$O$15),"",Lähtötiedot!$O$15)</f>
        <v/>
      </c>
      <c r="O28" s="73"/>
      <c r="P28" s="40"/>
      <c r="Q28" s="40"/>
      <c r="R28" s="40"/>
      <c r="S28" s="40"/>
      <c r="T28" s="40"/>
      <c r="U28" s="40"/>
      <c r="V28" s="40"/>
      <c r="W28" s="40"/>
      <c r="X28" s="40"/>
      <c r="Y28" s="40"/>
    </row>
    <row r="29" spans="1:25" x14ac:dyDescent="0.35">
      <c r="A29" t="str">
        <f>Turvallinen_ja_toimintavarma!I32</f>
        <v>Ei kuulu</v>
      </c>
      <c r="B29" t="str">
        <f>Turvallinen_ja_toimintavarma!P32</f>
        <v/>
      </c>
      <c r="C29" s="74" t="str">
        <f>Turvallinen_ja_toimintavarma!A32</f>
        <v>1,2,3,4</v>
      </c>
      <c r="D29" t="str">
        <f>Turvallinen_ja_toimintavarma!C32</f>
        <v>A,B,C,D</v>
      </c>
      <c r="E29" t="str">
        <f>IF(ISBLANK(Turvallinen_ja_toimintavarma!K32),"_Otsikkorivi",Turvallinen_ja_toimintavarma!K32)</f>
        <v>Turvallinen ja toimintavarma</v>
      </c>
      <c r="F29" t="str">
        <f>Turvallinen_ja_toimintavarma!L32</f>
        <v>2. Ajantasainen varautumis- ja valmiussuunnittelu ja yhteistyö muiden toimijoiden kanssa</v>
      </c>
      <c r="G29" t="str">
        <f>IF(ISBLANK(Turvallinen_ja_toimintavarma!R32),"Otsikkorivi",Turvallinen_ja_toimintavarma!R32)</f>
        <v xml:space="preserve">2.14 Varavoimakoneiden käyttöönotto ja toimivuus testataan säännöllisesti. </v>
      </c>
      <c r="H29" t="str">
        <f>IF(Turvallinen_ja_toimintavarma!N32="x","Kyllä","Ei")</f>
        <v>Kyllä</v>
      </c>
      <c r="I29" t="str">
        <f>IF(ISBLANK(Turvallinen_ja_toimintavarma!S32),"",Turvallinen_ja_toimintavarma!S32)</f>
        <v/>
      </c>
      <c r="J29">
        <f>LV!$B$10</f>
        <v>0</v>
      </c>
      <c r="K29" t="str">
        <f>LV!$I$18</f>
        <v/>
      </c>
      <c r="L29" t="str">
        <f>IF(ISBLANK(Lähtötiedot!$O$18),"",Lähtötiedot!$O$18)</f>
        <v/>
      </c>
      <c r="M29" t="str">
        <f>IF(ISBLANK(Lähtötiedot!$O$16),"",Lähtötiedot!$O$16)</f>
        <v/>
      </c>
      <c r="N29" s="73" t="str">
        <f>IF(ISBLANK(Lähtötiedot!$O$15),"",Lähtötiedot!$O$15)</f>
        <v/>
      </c>
      <c r="O29" s="73"/>
      <c r="P29" s="40"/>
      <c r="Q29" s="40"/>
      <c r="R29" s="40"/>
      <c r="S29" s="40"/>
      <c r="T29" s="40"/>
      <c r="U29" s="40"/>
      <c r="V29" s="40"/>
      <c r="W29" s="40"/>
      <c r="X29" s="40"/>
      <c r="Y29" s="40"/>
    </row>
    <row r="30" spans="1:25" x14ac:dyDescent="0.35">
      <c r="A30" t="str">
        <f>Turvallinen_ja_toimintavarma!I33</f>
        <v>Ei kuulu</v>
      </c>
      <c r="B30" t="str">
        <f>Turvallinen_ja_toimintavarma!P33</f>
        <v/>
      </c>
      <c r="C30" s="74" t="str">
        <f>Turvallinen_ja_toimintavarma!A33</f>
        <v xml:space="preserve">1,2,3,4 </v>
      </c>
      <c r="D30" t="str">
        <f>Turvallinen_ja_toimintavarma!C33</f>
        <v>A,B,C,D</v>
      </c>
      <c r="E30" t="str">
        <f>IF(ISBLANK(Turvallinen_ja_toimintavarma!K33),"_Otsikkorivi",Turvallinen_ja_toimintavarma!K33)</f>
        <v>Turvallinen ja toimintavarma</v>
      </c>
      <c r="F30" t="str">
        <f>Turvallinen_ja_toimintavarma!L33</f>
        <v>2. Ajantasainen varautumis- ja valmiussuunnittelu ja yhteistyö muiden toimijoiden kanssa</v>
      </c>
      <c r="G30" t="str">
        <f>IF(ISBLANK(Turvallinen_ja_toimintavarma!R33),"Otsikkorivi",Turvallinen_ja_toimintavarma!R33)</f>
        <v>2.15 Vesihuoltolaitos on selvittänyt materiaalisia yhteistyötarpeita ja -mahdollisuuksia muiden vesihuoltolaitosten kanssa. Jos yhteisiä tarpeita ja mahdollisuuksia on havaittu, on tehty yhteistyösopimuksia (esim. varavoima, vedenjakelukalusto, kemikaalit, varaosat).</v>
      </c>
      <c r="H30" t="str">
        <f>IF(Turvallinen_ja_toimintavarma!N33="x","Kyllä","Ei")</f>
        <v>Kyllä</v>
      </c>
      <c r="I30" t="str">
        <f>IF(ISBLANK(Turvallinen_ja_toimintavarma!S33),"",Turvallinen_ja_toimintavarma!S33)</f>
        <v/>
      </c>
      <c r="J30">
        <f>LV!$B$10</f>
        <v>0</v>
      </c>
      <c r="K30" t="str">
        <f>LV!$I$18</f>
        <v/>
      </c>
      <c r="L30" t="str">
        <f>IF(ISBLANK(Lähtötiedot!$O$18),"",Lähtötiedot!$O$18)</f>
        <v/>
      </c>
      <c r="M30" t="str">
        <f>IF(ISBLANK(Lähtötiedot!$O$16),"",Lähtötiedot!$O$16)</f>
        <v/>
      </c>
      <c r="N30" s="73" t="str">
        <f>IF(ISBLANK(Lähtötiedot!$O$15),"",Lähtötiedot!$O$15)</f>
        <v/>
      </c>
      <c r="O30" s="73"/>
      <c r="P30" s="40"/>
      <c r="Q30" s="40"/>
      <c r="R30" s="40"/>
      <c r="S30" s="40"/>
      <c r="T30" s="40"/>
      <c r="U30" s="40"/>
      <c r="V30" s="40"/>
      <c r="W30" s="40"/>
      <c r="X30" s="40"/>
      <c r="Y30" s="40"/>
    </row>
    <row r="31" spans="1:25" x14ac:dyDescent="0.35">
      <c r="A31" t="str">
        <f>Turvallinen_ja_toimintavarma!I34</f>
        <v>Ei kuulu</v>
      </c>
      <c r="B31" t="str">
        <f>Turvallinen_ja_toimintavarma!P34</f>
        <v/>
      </c>
      <c r="C31" s="74" t="str">
        <f>Turvallinen_ja_toimintavarma!A34</f>
        <v xml:space="preserve">1,2,3,4 </v>
      </c>
      <c r="D31" t="str">
        <f>Turvallinen_ja_toimintavarma!C34</f>
        <v>A,B,C,D</v>
      </c>
      <c r="E31" t="str">
        <f>IF(ISBLANK(Turvallinen_ja_toimintavarma!K34),"_Otsikkorivi",Turvallinen_ja_toimintavarma!K34)</f>
        <v>Turvallinen ja toimintavarma</v>
      </c>
      <c r="F31" t="str">
        <f>Turvallinen_ja_toimintavarma!L34</f>
        <v>2. Ajantasainen varautumis- ja valmiussuunnittelu ja yhteistyö muiden toimijoiden kanssa</v>
      </c>
      <c r="G31" t="str">
        <f>IF(ISBLANK(Turvallinen_ja_toimintavarma!R34),"Otsikkorivi",Turvallinen_ja_toimintavarma!R34)</f>
        <v>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v>
      </c>
      <c r="H31" t="str">
        <f>IF(Turvallinen_ja_toimintavarma!N34="x","Kyllä","Ei")</f>
        <v>Kyllä</v>
      </c>
      <c r="I31" t="str">
        <f>IF(ISBLANK(Turvallinen_ja_toimintavarma!S34),"",Turvallinen_ja_toimintavarma!S34)</f>
        <v/>
      </c>
      <c r="J31">
        <f>LV!$B$10</f>
        <v>0</v>
      </c>
      <c r="K31" t="str">
        <f>LV!$I$18</f>
        <v/>
      </c>
      <c r="L31" t="str">
        <f>IF(ISBLANK(Lähtötiedot!$O$18),"",Lähtötiedot!$O$18)</f>
        <v/>
      </c>
      <c r="M31" t="str">
        <f>IF(ISBLANK(Lähtötiedot!$O$16),"",Lähtötiedot!$O$16)</f>
        <v/>
      </c>
      <c r="N31" s="73" t="str">
        <f>IF(ISBLANK(Lähtötiedot!$O$15),"",Lähtötiedot!$O$15)</f>
        <v/>
      </c>
      <c r="O31" s="73"/>
      <c r="P31" s="40"/>
      <c r="Q31" s="40"/>
      <c r="R31" s="40"/>
      <c r="S31" s="40"/>
      <c r="T31" s="40"/>
      <c r="U31" s="40"/>
      <c r="V31" s="40"/>
      <c r="W31" s="40"/>
      <c r="X31" s="40"/>
      <c r="Y31" s="40"/>
    </row>
    <row r="32" spans="1:25" x14ac:dyDescent="0.35">
      <c r="A32" t="str">
        <f>Turvallinen_ja_toimintavarma!I35</f>
        <v>Ei kuulu</v>
      </c>
      <c r="B32" t="str">
        <f>Turvallinen_ja_toimintavarma!P35</f>
        <v/>
      </c>
      <c r="C32" s="74" t="str">
        <f>Turvallinen_ja_toimintavarma!A35</f>
        <v xml:space="preserve">1,2,3,4 </v>
      </c>
      <c r="D32" t="str">
        <f>Turvallinen_ja_toimintavarma!C35</f>
        <v>B,C</v>
      </c>
      <c r="E32" t="str">
        <f>IF(ISBLANK(Turvallinen_ja_toimintavarma!K35),"_Otsikkorivi",Turvallinen_ja_toimintavarma!K35)</f>
        <v>Turvallinen ja toimintavarma</v>
      </c>
      <c r="F32" t="str">
        <f>Turvallinen_ja_toimintavarma!L35</f>
        <v>2. Ajantasainen varautumis- ja valmiussuunnittelu ja yhteistyö muiden toimijoiden kanssa</v>
      </c>
      <c r="G32" t="str">
        <f>IF(ISBLANK(Turvallinen_ja_toimintavarma!R35),"Otsikkorivi",Turvallinen_ja_toimintavarma!R35)</f>
        <v>2.17 On selvitetty mahdollisuuksia ja tarvetta vesihuoltolaitosten välisiin olennaisiin normaali/poikkeustilanteen verkostoyhteyksiin ja jos tarve on tunnistettu, on tehty sopimukset, rakennettu yhteydet sekä sovittu käytännöistä.</v>
      </c>
      <c r="H32" t="str">
        <f>IF(Turvallinen_ja_toimintavarma!N35="x","Kyllä","Ei")</f>
        <v>Kyllä</v>
      </c>
      <c r="I32" t="str">
        <f>IF(ISBLANK(Turvallinen_ja_toimintavarma!S35),"",Turvallinen_ja_toimintavarma!S35)</f>
        <v/>
      </c>
      <c r="J32">
        <f>LV!$B$10</f>
        <v>0</v>
      </c>
      <c r="K32" t="str">
        <f>LV!$I$18</f>
        <v/>
      </c>
      <c r="L32" t="str">
        <f>IF(ISBLANK(Lähtötiedot!$O$18),"",Lähtötiedot!$O$18)</f>
        <v/>
      </c>
      <c r="M32" t="str">
        <f>IF(ISBLANK(Lähtötiedot!$O$16),"",Lähtötiedot!$O$16)</f>
        <v/>
      </c>
      <c r="N32" s="73" t="str">
        <f>IF(ISBLANK(Lähtötiedot!$O$15),"",Lähtötiedot!$O$15)</f>
        <v/>
      </c>
      <c r="O32" s="73"/>
      <c r="P32" s="40"/>
      <c r="Q32" s="40"/>
      <c r="R32" s="40"/>
      <c r="S32" s="40"/>
      <c r="T32" s="40"/>
      <c r="U32" s="40"/>
      <c r="V32" s="40"/>
      <c r="W32" s="40"/>
      <c r="X32" s="40"/>
      <c r="Y32" s="40"/>
    </row>
    <row r="33" spans="1:25" x14ac:dyDescent="0.35">
      <c r="A33" t="str">
        <f>Turvallinen_ja_toimintavarma!I36</f>
        <v>Ei kuulu</v>
      </c>
      <c r="B33" t="str">
        <f>Turvallinen_ja_toimintavarma!P36</f>
        <v/>
      </c>
      <c r="C33" s="74" t="str">
        <f>Turvallinen_ja_toimintavarma!A36</f>
        <v>1,2,3,4</v>
      </c>
      <c r="D33" t="str">
        <f>Turvallinen_ja_toimintavarma!C36</f>
        <v>A,B,C,D</v>
      </c>
      <c r="E33" t="str">
        <f>IF(ISBLANK(Turvallinen_ja_toimintavarma!K36),"_Otsikkorivi",Turvallinen_ja_toimintavarma!K36)</f>
        <v>Turvallinen ja toimintavarma</v>
      </c>
      <c r="F33" t="str">
        <f>Turvallinen_ja_toimintavarma!L36</f>
        <v>2. Ajantasainen varautumis- ja valmiussuunnittelu ja yhteistyö muiden toimijoiden kanssa</v>
      </c>
      <c r="G33" t="str">
        <f>IF(ISBLANK(Turvallinen_ja_toimintavarma!R36),"Otsikkorivi",Turvallinen_ja_toimintavarma!R36)</f>
        <v>2.18 Vesihuoltolaitoksen kohteiden (esim. kiinteistöjen, toimitilojen) riittävästä fyysisestä turvallisuudesta (lukitus, kulunseuranta, aitaus, valvontakamerat tms.)  on huolehdittu asianmukaisesti ottaen huomioon niiden kriittisyys.</v>
      </c>
      <c r="H33" t="str">
        <f>IF(Turvallinen_ja_toimintavarma!N36="x","Kyllä","Ei")</f>
        <v>Kyllä</v>
      </c>
      <c r="I33" t="str">
        <f>IF(ISBLANK(Turvallinen_ja_toimintavarma!S36),"",Turvallinen_ja_toimintavarma!S36)</f>
        <v/>
      </c>
      <c r="J33">
        <f>LV!$B$10</f>
        <v>0</v>
      </c>
      <c r="K33" t="str">
        <f>LV!$I$18</f>
        <v/>
      </c>
      <c r="L33" t="str">
        <f>IF(ISBLANK(Lähtötiedot!$O$18),"",Lähtötiedot!$O$18)</f>
        <v/>
      </c>
      <c r="M33" t="str">
        <f>IF(ISBLANK(Lähtötiedot!$O$16),"",Lähtötiedot!$O$16)</f>
        <v/>
      </c>
      <c r="N33" s="73" t="str">
        <f>IF(ISBLANK(Lähtötiedot!$O$15),"",Lähtötiedot!$O$15)</f>
        <v/>
      </c>
      <c r="O33" s="73"/>
      <c r="P33" s="40"/>
      <c r="Q33" s="40"/>
      <c r="R33" s="40"/>
      <c r="S33" s="40"/>
      <c r="T33" s="40"/>
      <c r="U33" s="40"/>
      <c r="V33" s="40"/>
      <c r="W33" s="40"/>
      <c r="X33" s="40"/>
      <c r="Y33" s="40"/>
    </row>
    <row r="34" spans="1:25" x14ac:dyDescent="0.35">
      <c r="A34" t="str">
        <f>Turvallinen_ja_toimintavarma!I37</f>
        <v>Ei kuulu</v>
      </c>
      <c r="B34" t="str">
        <f>Turvallinen_ja_toimintavarma!P37</f>
        <v/>
      </c>
      <c r="C34" s="74" t="str">
        <f>Turvallinen_ja_toimintavarma!A37</f>
        <v>1,2,3,4</v>
      </c>
      <c r="D34" t="str">
        <f>Turvallinen_ja_toimintavarma!C37</f>
        <v>A,B,C,D</v>
      </c>
      <c r="E34" t="str">
        <f>IF(ISBLANK(Turvallinen_ja_toimintavarma!K37),"_Otsikkorivi",Turvallinen_ja_toimintavarma!K37)</f>
        <v>Turvallinen ja toimintavarma</v>
      </c>
      <c r="F34" t="str">
        <f>Turvallinen_ja_toimintavarma!L37</f>
        <v>2. Ajantasainen varautumis- ja valmiussuunnittelu ja yhteistyö muiden toimijoiden kanssa</v>
      </c>
      <c r="G34" t="str">
        <f>IF(ISBLANK(Turvallinen_ja_toimintavarma!R37),"Otsikkorivi",Turvallinen_ja_toimintavarma!R37)</f>
        <v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v>
      </c>
      <c r="H34" t="str">
        <f>IF(Turvallinen_ja_toimintavarma!N37="x","Kyllä","Ei")</f>
        <v>Kyllä</v>
      </c>
      <c r="I34" t="str">
        <f>IF(ISBLANK(Turvallinen_ja_toimintavarma!S37),"",Turvallinen_ja_toimintavarma!S37)</f>
        <v/>
      </c>
      <c r="J34">
        <f>LV!$B$10</f>
        <v>0</v>
      </c>
      <c r="K34" t="str">
        <f>LV!$I$18</f>
        <v/>
      </c>
      <c r="L34" t="str">
        <f>IF(ISBLANK(Lähtötiedot!$O$18),"",Lähtötiedot!$O$18)</f>
        <v/>
      </c>
      <c r="M34" t="str">
        <f>IF(ISBLANK(Lähtötiedot!$O$16),"",Lähtötiedot!$O$16)</f>
        <v/>
      </c>
      <c r="N34" s="73" t="str">
        <f>IF(ISBLANK(Lähtötiedot!$O$15),"",Lähtötiedot!$O$15)</f>
        <v/>
      </c>
      <c r="O34" s="73"/>
      <c r="P34" s="40"/>
      <c r="Q34" s="40"/>
      <c r="R34" s="40"/>
      <c r="S34" s="40"/>
      <c r="T34" s="40"/>
      <c r="U34" s="40"/>
      <c r="V34" s="40"/>
      <c r="W34" s="40"/>
      <c r="X34" s="40"/>
      <c r="Y34" s="40"/>
    </row>
    <row r="35" spans="1:25" x14ac:dyDescent="0.35">
      <c r="A35" t="str">
        <f>Turvallinen_ja_toimintavarma!I38</f>
        <v>Ei kuulu</v>
      </c>
      <c r="B35" t="str">
        <f>Turvallinen_ja_toimintavarma!P38</f>
        <v/>
      </c>
      <c r="C35" s="74" t="str">
        <f>Turvallinen_ja_toimintavarma!A38</f>
        <v>1,2,3,4</v>
      </c>
      <c r="D35" t="str">
        <f>Turvallinen_ja_toimintavarma!C38</f>
        <v>A,B,C,D</v>
      </c>
      <c r="E35" t="str">
        <f>IF(ISBLANK(Turvallinen_ja_toimintavarma!K38),"_Otsikkorivi",Turvallinen_ja_toimintavarma!K38)</f>
        <v>Turvallinen ja toimintavarma</v>
      </c>
      <c r="F35" t="str">
        <f>Turvallinen_ja_toimintavarma!L38</f>
        <v>2. Ajantasainen varautumis- ja valmiussuunnittelu ja yhteistyö muiden toimijoiden kanssa</v>
      </c>
      <c r="G35" t="str">
        <f>IF(ISBLANK(Turvallinen_ja_toimintavarma!R38),"Otsikkorivi",Turvallinen_ja_toimintavarma!R38)</f>
        <v xml:space="preserve">2.20 Vesihuoltolaitoksella on häiriötilanteiden hoitoa varten etukäteen sovittu ja harjoiteltu toimintatapa tilannekuvan kokoamiseen ja ylläpitoon. </v>
      </c>
      <c r="H35" t="str">
        <f>IF(Turvallinen_ja_toimintavarma!N38="x","Kyllä","Ei")</f>
        <v>Kyllä</v>
      </c>
      <c r="I35" t="str">
        <f>IF(ISBLANK(Turvallinen_ja_toimintavarma!S38),"",Turvallinen_ja_toimintavarma!S38)</f>
        <v/>
      </c>
      <c r="J35">
        <f>LV!$B$10</f>
        <v>0</v>
      </c>
      <c r="K35" t="str">
        <f>LV!$I$18</f>
        <v/>
      </c>
      <c r="L35" t="str">
        <f>IF(ISBLANK(Lähtötiedot!$O$18),"",Lähtötiedot!$O$18)</f>
        <v/>
      </c>
      <c r="M35" t="str">
        <f>IF(ISBLANK(Lähtötiedot!$O$16),"",Lähtötiedot!$O$16)</f>
        <v/>
      </c>
      <c r="N35" s="73" t="str">
        <f>IF(ISBLANK(Lähtötiedot!$O$15),"",Lähtötiedot!$O$15)</f>
        <v/>
      </c>
      <c r="O35" s="73"/>
      <c r="P35" s="40"/>
      <c r="Q35" s="40"/>
      <c r="R35" s="40"/>
      <c r="S35" s="40"/>
      <c r="T35" s="40"/>
      <c r="U35" s="40"/>
      <c r="V35" s="40"/>
      <c r="W35" s="40"/>
      <c r="X35" s="40"/>
      <c r="Y35" s="40"/>
    </row>
    <row r="36" spans="1:25" x14ac:dyDescent="0.35">
      <c r="A36" t="str">
        <f>Turvallinen_ja_toimintavarma!I39</f>
        <v>Ei kuulu</v>
      </c>
      <c r="B36" t="str">
        <f>Turvallinen_ja_toimintavarma!P39</f>
        <v/>
      </c>
      <c r="C36" s="74">
        <f>Turvallinen_ja_toimintavarma!A39</f>
        <v>3.4</v>
      </c>
      <c r="D36" t="str">
        <f>Turvallinen_ja_toimintavarma!C39</f>
        <v>A,B,C,D</v>
      </c>
      <c r="E36" t="str">
        <f>IF(ISBLANK(Turvallinen_ja_toimintavarma!K39),"_Otsikkorivi",Turvallinen_ja_toimintavarma!K39)</f>
        <v>Turvallinen ja toimintavarma</v>
      </c>
      <c r="F36" t="str">
        <f>Turvallinen_ja_toimintavarma!L39</f>
        <v>2. Ajantasainen varautumis- ja valmiussuunnittelu ja yhteistyö muiden toimijoiden kanssa</v>
      </c>
      <c r="G36" t="str">
        <f>IF(ISBLANK(Turvallinen_ja_toimintavarma!R39),"Otsikkorivi",Turvallinen_ja_toimintavarma!R39)</f>
        <v>2.21 Vesihuoltolaitoksella on laadittu toiminnan kannalta kriittisten automaatio- ja ICT-järjestelmien häiriötilanteiden varajärjestelyt ja häiriöistä toipuminen on suunniteltu. Tietoturvaa havainnoidaan.</v>
      </c>
      <c r="H36" t="str">
        <f>IF(Turvallinen_ja_toimintavarma!N39="x","Kyllä","Ei")</f>
        <v>Kyllä</v>
      </c>
      <c r="I36" t="str">
        <f>IF(ISBLANK(Turvallinen_ja_toimintavarma!S39),"",Turvallinen_ja_toimintavarma!S39)</f>
        <v/>
      </c>
      <c r="J36">
        <f>LV!$B$10</f>
        <v>0</v>
      </c>
      <c r="K36" t="str">
        <f>LV!$I$18</f>
        <v/>
      </c>
      <c r="L36" t="str">
        <f>IF(ISBLANK(Lähtötiedot!$O$18),"",Lähtötiedot!$O$18)</f>
        <v/>
      </c>
      <c r="M36" t="str">
        <f>IF(ISBLANK(Lähtötiedot!$O$16),"",Lähtötiedot!$O$16)</f>
        <v/>
      </c>
      <c r="N36" s="73" t="str">
        <f>IF(ISBLANK(Lähtötiedot!$O$15),"",Lähtötiedot!$O$15)</f>
        <v/>
      </c>
      <c r="O36" s="73"/>
      <c r="P36" s="40"/>
      <c r="Q36" s="40"/>
      <c r="R36" s="40"/>
      <c r="S36" s="40"/>
      <c r="T36" s="40"/>
      <c r="U36" s="40"/>
      <c r="V36" s="40"/>
      <c r="W36" s="40"/>
      <c r="X36" s="40"/>
      <c r="Y36" s="40"/>
    </row>
    <row r="37" spans="1:25" x14ac:dyDescent="0.35">
      <c r="A37" t="str">
        <f>Turvallinen_ja_toimintavarma!I40</f>
        <v>Ei kuulu</v>
      </c>
      <c r="B37" t="str">
        <f>Turvallinen_ja_toimintavarma!P40</f>
        <v/>
      </c>
      <c r="C37" s="74">
        <f>Turvallinen_ja_toimintavarma!A40</f>
        <v>3.4</v>
      </c>
      <c r="D37" t="str">
        <f>Turvallinen_ja_toimintavarma!C40</f>
        <v>A,B,C,D</v>
      </c>
      <c r="E37" t="str">
        <f>IF(ISBLANK(Turvallinen_ja_toimintavarma!K40),"_Otsikkorivi",Turvallinen_ja_toimintavarma!K40)</f>
        <v>Turvallinen ja toimintavarma</v>
      </c>
      <c r="F37" t="str">
        <f>Turvallinen_ja_toimintavarma!L40</f>
        <v>2. Ajantasainen varautumis- ja valmiussuunnittelu ja yhteistyö muiden toimijoiden kanssa</v>
      </c>
      <c r="G37" t="str">
        <f>IF(ISBLANK(Turvallinen_ja_toimintavarma!R40),"Otsikkorivi",Turvallinen_ja_toimintavarma!R40)</f>
        <v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v>
      </c>
      <c r="H37" t="str">
        <f>IF(Turvallinen_ja_toimintavarma!N40="x","Kyllä","Ei")</f>
        <v>Kyllä</v>
      </c>
      <c r="I37" t="str">
        <f>IF(ISBLANK(Turvallinen_ja_toimintavarma!S40),"",Turvallinen_ja_toimintavarma!S40)</f>
        <v/>
      </c>
      <c r="J37">
        <f>LV!$B$10</f>
        <v>0</v>
      </c>
      <c r="K37" t="str">
        <f>LV!$I$18</f>
        <v/>
      </c>
      <c r="L37" t="str">
        <f>IF(ISBLANK(Lähtötiedot!$O$18),"",Lähtötiedot!$O$18)</f>
        <v/>
      </c>
      <c r="M37" t="str">
        <f>IF(ISBLANK(Lähtötiedot!$O$16),"",Lähtötiedot!$O$16)</f>
        <v/>
      </c>
      <c r="N37" s="73" t="str">
        <f>IF(ISBLANK(Lähtötiedot!$O$15),"",Lähtötiedot!$O$15)</f>
        <v/>
      </c>
      <c r="O37" s="73"/>
      <c r="P37" s="40"/>
      <c r="Q37" s="40"/>
      <c r="R37" s="40"/>
      <c r="S37" s="40"/>
      <c r="T37" s="40"/>
      <c r="U37" s="40"/>
      <c r="V37" s="40"/>
      <c r="W37" s="40"/>
      <c r="X37" s="40"/>
      <c r="Y37" s="40"/>
    </row>
    <row r="38" spans="1:25" x14ac:dyDescent="0.35">
      <c r="A38" t="str">
        <f>Turvallinen_ja_toimintavarma!I41</f>
        <v>Ei kuulu</v>
      </c>
      <c r="B38" t="str">
        <f>Turvallinen_ja_toimintavarma!P41</f>
        <v/>
      </c>
      <c r="C38" s="74" t="str">
        <f>Turvallinen_ja_toimintavarma!A41</f>
        <v>3, 4</v>
      </c>
      <c r="D38" t="str">
        <f>Turvallinen_ja_toimintavarma!C41</f>
        <v>A,B,C,D</v>
      </c>
      <c r="E38" t="str">
        <f>IF(ISBLANK(Turvallinen_ja_toimintavarma!K41),"_Otsikkorivi",Turvallinen_ja_toimintavarma!K41)</f>
        <v>Turvallinen ja toimintavarma</v>
      </c>
      <c r="F38" t="str">
        <f>Turvallinen_ja_toimintavarma!L41</f>
        <v>2. Ajantasainen varautumis- ja valmiussuunnittelu ja yhteistyö muiden toimijoiden kanssa</v>
      </c>
      <c r="G38" t="str">
        <f>IF(ISBLANK(Turvallinen_ja_toimintavarma!R41),"Otsikkorivi",Turvallinen_ja_toimintavarma!R41)</f>
        <v>2.23 Vesihuoltolaitos pitää tarvitsemiensa ajoneuvojen ja työkoneiden ATV-varaukset ajan tasalla. (Välttämättömien ajoneuvojen ja työkoneiden varaaminen poikkeusoloissa vesihuollon käyttöön)</v>
      </c>
      <c r="H38" t="str">
        <f>IF(Turvallinen_ja_toimintavarma!N41="x","Kyllä","Ei")</f>
        <v>Kyllä</v>
      </c>
      <c r="I38" t="str">
        <f>IF(ISBLANK(Turvallinen_ja_toimintavarma!S41),"",Turvallinen_ja_toimintavarma!S41)</f>
        <v/>
      </c>
      <c r="J38">
        <f>LV!$B$10</f>
        <v>0</v>
      </c>
      <c r="K38" t="str">
        <f>LV!$I$18</f>
        <v/>
      </c>
      <c r="L38" t="str">
        <f>IF(ISBLANK(Lähtötiedot!$O$18),"",Lähtötiedot!$O$18)</f>
        <v/>
      </c>
      <c r="M38" t="str">
        <f>IF(ISBLANK(Lähtötiedot!$O$16),"",Lähtötiedot!$O$16)</f>
        <v/>
      </c>
      <c r="N38" s="73" t="str">
        <f>IF(ISBLANK(Lähtötiedot!$O$15),"",Lähtötiedot!$O$15)</f>
        <v/>
      </c>
      <c r="O38" s="73"/>
      <c r="P38" s="40"/>
      <c r="Q38" s="40"/>
      <c r="R38" s="40"/>
      <c r="S38" s="40"/>
      <c r="T38" s="40"/>
      <c r="U38" s="40"/>
      <c r="V38" s="40"/>
      <c r="W38" s="40"/>
      <c r="X38" s="40"/>
      <c r="Y38" s="40"/>
    </row>
    <row r="39" spans="1:25" x14ac:dyDescent="0.35">
      <c r="A39" t="str">
        <f>Turvallinen_ja_toimintavarma!I42</f>
        <v>Ei kuulu</v>
      </c>
      <c r="B39" t="str">
        <f>Turvallinen_ja_toimintavarma!P42</f>
        <v/>
      </c>
      <c r="C39" s="74">
        <f>Turvallinen_ja_toimintavarma!A42</f>
        <v>4</v>
      </c>
      <c r="D39" t="str">
        <f>Turvallinen_ja_toimintavarma!C42</f>
        <v>A,B,C,D</v>
      </c>
      <c r="E39" t="str">
        <f>IF(ISBLANK(Turvallinen_ja_toimintavarma!K42),"_Otsikkorivi",Turvallinen_ja_toimintavarma!K42)</f>
        <v>Turvallinen ja toimintavarma</v>
      </c>
      <c r="F39" t="str">
        <f>Turvallinen_ja_toimintavarma!L42</f>
        <v>2. Ajantasainen varautumis- ja valmiussuunnittelu ja yhteistyö muiden toimijoiden kanssa</v>
      </c>
      <c r="G39" t="str">
        <f>IF(ISBLANK(Turvallinen_ja_toimintavarma!R42),"Otsikkorivi",Turvallinen_ja_toimintavarma!R42)</f>
        <v>2.24 Automaatio- ja ICT-järjestelmien (OT- ja IT- järjestelmät) tietoturvaa on arvioitu hyödyntäen Kybermittaria tai Kyber-Vesi -hankkeen automaation vaatimuspatteristoa.</v>
      </c>
      <c r="H39" t="str">
        <f>IF(Turvallinen_ja_toimintavarma!N42="x","Kyllä","Ei")</f>
        <v>Kyllä</v>
      </c>
      <c r="I39" t="str">
        <f>IF(ISBLANK(Turvallinen_ja_toimintavarma!S42),"",Turvallinen_ja_toimintavarma!S42)</f>
        <v/>
      </c>
      <c r="J39">
        <f>LV!$B$10</f>
        <v>0</v>
      </c>
      <c r="K39" t="str">
        <f>LV!$I$18</f>
        <v/>
      </c>
      <c r="L39" t="str">
        <f>IF(ISBLANK(Lähtötiedot!$O$18),"",Lähtötiedot!$O$18)</f>
        <v/>
      </c>
      <c r="M39" t="str">
        <f>IF(ISBLANK(Lähtötiedot!$O$16),"",Lähtötiedot!$O$16)</f>
        <v/>
      </c>
      <c r="N39" s="73" t="str">
        <f>IF(ISBLANK(Lähtötiedot!$O$15),"",Lähtötiedot!$O$15)</f>
        <v/>
      </c>
      <c r="O39" s="73"/>
      <c r="P39" s="40"/>
      <c r="Q39" s="40"/>
      <c r="R39" s="40"/>
      <c r="S39" s="40"/>
      <c r="T39" s="40"/>
      <c r="U39" s="40"/>
      <c r="V39" s="40"/>
      <c r="W39" s="40"/>
      <c r="X39" s="40"/>
      <c r="Y39" s="40"/>
    </row>
    <row r="40" spans="1:25" hidden="1" x14ac:dyDescent="0.35">
      <c r="A40" t="str">
        <f>Turvallinen_ja_toimintavarma!I43</f>
        <v>Ei kuulu</v>
      </c>
      <c r="B40" t="str">
        <f>Turvallinen_ja_toimintavarma!P43</f>
        <v/>
      </c>
      <c r="C40" s="74" t="str">
        <f>Turvallinen_ja_toimintavarma!A43</f>
        <v xml:space="preserve">1,2,3,4 </v>
      </c>
      <c r="D40" t="str">
        <f>Turvallinen_ja_toimintavarma!C43</f>
        <v>A,B,C,D</v>
      </c>
      <c r="E40" t="str">
        <f>IF(ISBLANK(Turvallinen_ja_toimintavarma!K43),"_Otsikkorivi",Turvallinen_ja_toimintavarma!K43)</f>
        <v>Turvallinen ja toimintavarma</v>
      </c>
      <c r="F40" t="str">
        <f>Turvallinen_ja_toimintavarma!L43</f>
        <v>_Otsikkorivi</v>
      </c>
      <c r="G40" t="str">
        <f>IF(ISBLANK(Turvallinen_ja_toimintavarma!R43),"Otsikkorivi",Turvallinen_ja_toimintavarma!R43)</f>
        <v>3. Kriittiset asiakkaat, väliaikainen vedenjakelu ja poikkeustilanteiden viestintä</v>
      </c>
      <c r="H40" t="str">
        <f>IF(Turvallinen_ja_toimintavarma!N43="x","Kyllä","Ei")</f>
        <v>Ei</v>
      </c>
      <c r="I40" t="str">
        <f>IF(ISBLANK(Turvallinen_ja_toimintavarma!S43),"",Turvallinen_ja_toimintavarma!S43)</f>
        <v/>
      </c>
      <c r="J40">
        <f>LV!$B$10</f>
        <v>0</v>
      </c>
      <c r="K40" t="str">
        <f>LV!$I$18</f>
        <v/>
      </c>
      <c r="L40" t="str">
        <f>IF(ISBLANK(Lähtötiedot!$O$18),"",Lähtötiedot!$O$18)</f>
        <v/>
      </c>
      <c r="M40" t="str">
        <f>IF(ISBLANK(Lähtötiedot!$O$16),"",Lähtötiedot!$O$16)</f>
        <v/>
      </c>
      <c r="N40" s="73" t="str">
        <f>IF(ISBLANK(Lähtötiedot!$O$15),"",Lähtötiedot!$O$15)</f>
        <v/>
      </c>
      <c r="O40" s="73"/>
      <c r="P40" s="40"/>
      <c r="Q40" s="40"/>
      <c r="R40" s="40"/>
      <c r="S40" s="40"/>
      <c r="T40" s="40"/>
      <c r="U40" s="40"/>
      <c r="V40" s="40"/>
      <c r="W40" s="40"/>
      <c r="X40" s="40"/>
      <c r="Y40" s="40"/>
    </row>
    <row r="41" spans="1:25" x14ac:dyDescent="0.35">
      <c r="A41" t="str">
        <f>Turvallinen_ja_toimintavarma!I44</f>
        <v>Ei kuulu</v>
      </c>
      <c r="B41" t="str">
        <f>Turvallinen_ja_toimintavarma!P44</f>
        <v/>
      </c>
      <c r="C41" s="74" t="str">
        <f>Turvallinen_ja_toimintavarma!A44</f>
        <v>1,2,3,4</v>
      </c>
      <c r="D41" t="str">
        <f>Turvallinen_ja_toimintavarma!C44</f>
        <v>B</v>
      </c>
      <c r="E41" t="str">
        <f>IF(ISBLANK(Turvallinen_ja_toimintavarma!K44),"_Otsikkorivi",Turvallinen_ja_toimintavarma!K44)</f>
        <v>Turvallinen ja toimintavarma</v>
      </c>
      <c r="F41" t="str">
        <f>Turvallinen_ja_toimintavarma!L44</f>
        <v>3. Kriittiset asiakkaat, väliaikainen vedenjakelu ja poikkeustilanteiden viestintä</v>
      </c>
      <c r="G41" t="str">
        <f>IF(ISBLANK(Turvallinen_ja_toimintavarma!R44),"Otsikkorivi",Turvallinen_ja_toimintavarma!R44)</f>
        <v xml:space="preserve">3.1 Vesihuoltolaitoksen kriittiset asiakkaat on tunnistettu (määritetty ja luokiteltu) ja dokumentoitu (esim. vesihuoltolaitoksen verkkotietojärjestelmään ja varautumisohjeisiin) </v>
      </c>
      <c r="H41" t="str">
        <f>IF(Turvallinen_ja_toimintavarma!N44="x","Kyllä","Ei")</f>
        <v>Kyllä</v>
      </c>
      <c r="I41" t="str">
        <f>IF(ISBLANK(Turvallinen_ja_toimintavarma!S44),"",Turvallinen_ja_toimintavarma!S44)</f>
        <v/>
      </c>
      <c r="J41">
        <f>LV!$B$10</f>
        <v>0</v>
      </c>
      <c r="K41" t="str">
        <f>LV!$I$18</f>
        <v/>
      </c>
      <c r="L41" t="str">
        <f>IF(ISBLANK(Lähtötiedot!$O$18),"",Lähtötiedot!$O$18)</f>
        <v/>
      </c>
      <c r="M41" t="str">
        <f>IF(ISBLANK(Lähtötiedot!$O$16),"",Lähtötiedot!$O$16)</f>
        <v/>
      </c>
      <c r="N41" s="73" t="str">
        <f>IF(ISBLANK(Lähtötiedot!$O$15),"",Lähtötiedot!$O$15)</f>
        <v/>
      </c>
      <c r="O41" s="73"/>
      <c r="P41" s="40"/>
      <c r="Q41" s="40"/>
      <c r="R41" s="40"/>
      <c r="S41" s="40"/>
      <c r="T41" s="40"/>
      <c r="U41" s="40"/>
      <c r="V41" s="40"/>
      <c r="W41" s="40"/>
      <c r="X41" s="40"/>
      <c r="Y41" s="40"/>
    </row>
    <row r="42" spans="1:25" x14ac:dyDescent="0.35">
      <c r="A42" t="str">
        <f>Turvallinen_ja_toimintavarma!I45</f>
        <v>Ei kuulu</v>
      </c>
      <c r="B42" t="str">
        <f>Turvallinen_ja_toimintavarma!P45</f>
        <v/>
      </c>
      <c r="C42" s="74" t="str">
        <f>Turvallinen_ja_toimintavarma!A45</f>
        <v>1,2,3,4</v>
      </c>
      <c r="D42" t="str">
        <f>Turvallinen_ja_toimintavarma!C45</f>
        <v>B</v>
      </c>
      <c r="E42" t="str">
        <f>IF(ISBLANK(Turvallinen_ja_toimintavarma!K45),"_Otsikkorivi",Turvallinen_ja_toimintavarma!K45)</f>
        <v>Turvallinen ja toimintavarma</v>
      </c>
      <c r="F42" t="str">
        <f>Turvallinen_ja_toimintavarma!L45</f>
        <v>3. Kriittiset asiakkaat, väliaikainen vedenjakelu ja poikkeustilanteiden viestintä</v>
      </c>
      <c r="G42" t="str">
        <f>IF(ISBLANK(Turvallinen_ja_toimintavarma!R45),"Otsikkorivi",Turvallinen_ja_toimintavarma!R45)</f>
        <v>3.2 Varavedenjakelukaluston saatavuus ja riittävä kapasiteetti on varmistettu tavanomaisissa (pienivaikutteisissa) vedenjakelun häiriötilanteissa omalla kalustolla ja/tai muuten.</v>
      </c>
      <c r="H42" t="str">
        <f>IF(Turvallinen_ja_toimintavarma!N45="x","Kyllä","Ei")</f>
        <v>Kyllä</v>
      </c>
      <c r="I42" t="str">
        <f>IF(ISBLANK(Turvallinen_ja_toimintavarma!S45),"",Turvallinen_ja_toimintavarma!S45)</f>
        <v/>
      </c>
      <c r="J42">
        <f>LV!$B$10</f>
        <v>0</v>
      </c>
      <c r="K42" t="str">
        <f>LV!$I$18</f>
        <v/>
      </c>
      <c r="L42" t="str">
        <f>IF(ISBLANK(Lähtötiedot!$O$18),"",Lähtötiedot!$O$18)</f>
        <v/>
      </c>
      <c r="M42" t="str">
        <f>IF(ISBLANK(Lähtötiedot!$O$16),"",Lähtötiedot!$O$16)</f>
        <v/>
      </c>
      <c r="N42" s="73" t="str">
        <f>IF(ISBLANK(Lähtötiedot!$O$15),"",Lähtötiedot!$O$15)</f>
        <v/>
      </c>
      <c r="O42" s="73"/>
      <c r="P42" s="40"/>
      <c r="Q42" s="40"/>
      <c r="R42" s="40"/>
      <c r="S42" s="40"/>
      <c r="T42" s="40"/>
      <c r="U42" s="40"/>
      <c r="V42" s="40"/>
      <c r="W42" s="40"/>
      <c r="X42" s="40"/>
      <c r="Y42" s="40"/>
    </row>
    <row r="43" spans="1:25" x14ac:dyDescent="0.35">
      <c r="A43" t="str">
        <f>Turvallinen_ja_toimintavarma!I46</f>
        <v>Ei kuulu</v>
      </c>
      <c r="B43" t="str">
        <f>Turvallinen_ja_toimintavarma!P46</f>
        <v/>
      </c>
      <c r="C43" s="74" t="str">
        <f>Turvallinen_ja_toimintavarma!A46</f>
        <v>1,2,3,4</v>
      </c>
      <c r="D43" t="str">
        <f>Turvallinen_ja_toimintavarma!C46</f>
        <v>B</v>
      </c>
      <c r="E43" t="str">
        <f>IF(ISBLANK(Turvallinen_ja_toimintavarma!K46),"_Otsikkorivi",Turvallinen_ja_toimintavarma!K46)</f>
        <v>Turvallinen ja toimintavarma</v>
      </c>
      <c r="F43" t="str">
        <f>Turvallinen_ja_toimintavarma!L46</f>
        <v>3. Kriittiset asiakkaat, väliaikainen vedenjakelu ja poikkeustilanteiden viestintä</v>
      </c>
      <c r="G43" t="str">
        <f>IF(ISBLANK(Turvallinen_ja_toimintavarma!R46),"Otsikkorivi",Turvallinen_ja_toimintavarma!R46)</f>
        <v xml:space="preserve">3.3 Vesihuoltolaitoksen varavedenjakelu (esim. jakelupisteet, kalusto, säiliöt, pullot yms.) on suunniteltu myös laajavaikutteisiin vedenjakelutarpeisiin. </v>
      </c>
      <c r="H43" t="str">
        <f>IF(Turvallinen_ja_toimintavarma!N46="x","Kyllä","Ei")</f>
        <v>Kyllä</v>
      </c>
      <c r="I43" t="str">
        <f>IF(ISBLANK(Turvallinen_ja_toimintavarma!S46),"",Turvallinen_ja_toimintavarma!S46)</f>
        <v/>
      </c>
      <c r="J43">
        <f>LV!$B$10</f>
        <v>0</v>
      </c>
      <c r="K43" t="str">
        <f>LV!$I$18</f>
        <v/>
      </c>
      <c r="L43" t="str">
        <f>IF(ISBLANK(Lähtötiedot!$O$18),"",Lähtötiedot!$O$18)</f>
        <v/>
      </c>
      <c r="M43" t="str">
        <f>IF(ISBLANK(Lähtötiedot!$O$16),"",Lähtötiedot!$O$16)</f>
        <v/>
      </c>
      <c r="N43" s="73" t="str">
        <f>IF(ISBLANK(Lähtötiedot!$O$15),"",Lähtötiedot!$O$15)</f>
        <v/>
      </c>
      <c r="O43" s="73"/>
      <c r="P43" s="40"/>
      <c r="Q43" s="40"/>
      <c r="R43" s="40"/>
      <c r="S43" s="40"/>
      <c r="T43" s="40"/>
      <c r="U43" s="40"/>
      <c r="V43" s="40"/>
      <c r="W43" s="40"/>
      <c r="X43" s="40"/>
      <c r="Y43" s="40"/>
    </row>
    <row r="44" spans="1:25" x14ac:dyDescent="0.35">
      <c r="A44" t="str">
        <f>Turvallinen_ja_toimintavarma!I47</f>
        <v>Ei kuulu</v>
      </c>
      <c r="B44" t="str">
        <f>Turvallinen_ja_toimintavarma!P47</f>
        <v/>
      </c>
      <c r="C44" s="74" t="str">
        <f>Turvallinen_ja_toimintavarma!A47</f>
        <v>1,2,3,4</v>
      </c>
      <c r="D44" t="str">
        <f>Turvallinen_ja_toimintavarma!C47</f>
        <v>B</v>
      </c>
      <c r="E44" t="str">
        <f>IF(ISBLANK(Turvallinen_ja_toimintavarma!K47),"_Otsikkorivi",Turvallinen_ja_toimintavarma!K47)</f>
        <v>Turvallinen ja toimintavarma</v>
      </c>
      <c r="F44" t="str">
        <f>Turvallinen_ja_toimintavarma!L47</f>
        <v>3. Kriittiset asiakkaat, väliaikainen vedenjakelu ja poikkeustilanteiden viestintä</v>
      </c>
      <c r="G44" t="str">
        <f>IF(ISBLANK(Turvallinen_ja_toimintavarma!R47),"Otsikkorivi",Turvallinen_ja_toimintavarma!R47)</f>
        <v xml:space="preserve">3.4 Varavedenjakelua on harjoiteltu.  (esim. todellisten tilanteiden myötä) </v>
      </c>
      <c r="H44" t="str">
        <f>IF(Turvallinen_ja_toimintavarma!N47="x","Kyllä","Ei")</f>
        <v>Kyllä</v>
      </c>
      <c r="I44" t="str">
        <f>IF(ISBLANK(Turvallinen_ja_toimintavarma!S47),"",Turvallinen_ja_toimintavarma!S47)</f>
        <v/>
      </c>
      <c r="J44">
        <f>LV!$B$10</f>
        <v>0</v>
      </c>
      <c r="K44" t="str">
        <f>LV!$I$18</f>
        <v/>
      </c>
      <c r="L44" t="str">
        <f>IF(ISBLANK(Lähtötiedot!$O$18),"",Lähtötiedot!$O$18)</f>
        <v/>
      </c>
      <c r="M44" t="str">
        <f>IF(ISBLANK(Lähtötiedot!$O$16),"",Lähtötiedot!$O$16)</f>
        <v/>
      </c>
      <c r="N44" s="73" t="str">
        <f>IF(ISBLANK(Lähtötiedot!$O$15),"",Lähtötiedot!$O$15)</f>
        <v/>
      </c>
      <c r="O44" s="73"/>
      <c r="P44" s="40"/>
      <c r="Q44" s="40"/>
      <c r="R44" s="40"/>
      <c r="S44" s="40"/>
      <c r="T44" s="40"/>
      <c r="U44" s="40"/>
      <c r="V44" s="40"/>
      <c r="W44" s="40"/>
      <c r="X44" s="40"/>
      <c r="Y44" s="40"/>
    </row>
    <row r="45" spans="1:25" x14ac:dyDescent="0.35">
      <c r="A45" t="str">
        <f>Turvallinen_ja_toimintavarma!I48</f>
        <v>Ei kuulu</v>
      </c>
      <c r="B45" t="str">
        <f>Turvallinen_ja_toimintavarma!P48</f>
        <v/>
      </c>
      <c r="C45" s="74" t="str">
        <f>Turvallinen_ja_toimintavarma!A48</f>
        <v>1,2,3,4</v>
      </c>
      <c r="D45" t="str">
        <f>Turvallinen_ja_toimintavarma!C48</f>
        <v>B</v>
      </c>
      <c r="E45" t="str">
        <f>IF(ISBLANK(Turvallinen_ja_toimintavarma!K48),"_Otsikkorivi",Turvallinen_ja_toimintavarma!K48)</f>
        <v>Turvallinen ja toimintavarma</v>
      </c>
      <c r="F45" t="str">
        <f>Turvallinen_ja_toimintavarma!L48</f>
        <v>3. Kriittiset asiakkaat, väliaikainen vedenjakelu ja poikkeustilanteiden viestintä</v>
      </c>
      <c r="G45" t="str">
        <f>IF(ISBLANK(Turvallinen_ja_toimintavarma!R48),"Otsikkorivi",Turvallinen_ja_toimintavarma!R48)</f>
        <v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v>
      </c>
      <c r="H45" t="str">
        <f>IF(Turvallinen_ja_toimintavarma!N48="x","Kyllä","Ei")</f>
        <v>Kyllä</v>
      </c>
      <c r="I45" t="str">
        <f>IF(ISBLANK(Turvallinen_ja_toimintavarma!S48),"",Turvallinen_ja_toimintavarma!S48)</f>
        <v/>
      </c>
      <c r="J45">
        <f>LV!$B$10</f>
        <v>0</v>
      </c>
      <c r="K45" t="str">
        <f>LV!$I$18</f>
        <v/>
      </c>
      <c r="L45" t="str">
        <f>IF(ISBLANK(Lähtötiedot!$O$18),"",Lähtötiedot!$O$18)</f>
        <v/>
      </c>
      <c r="M45" t="str">
        <f>IF(ISBLANK(Lähtötiedot!$O$16),"",Lähtötiedot!$O$16)</f>
        <v/>
      </c>
      <c r="N45" s="73" t="str">
        <f>IF(ISBLANK(Lähtötiedot!$O$15),"",Lähtötiedot!$O$15)</f>
        <v/>
      </c>
      <c r="O45" s="73"/>
      <c r="P45" s="40"/>
      <c r="Q45" s="40"/>
      <c r="R45" s="40"/>
      <c r="S45" s="40"/>
      <c r="T45" s="40"/>
      <c r="U45" s="40"/>
      <c r="V45" s="40"/>
      <c r="W45" s="40"/>
      <c r="X45" s="40"/>
      <c r="Y45" s="40"/>
    </row>
    <row r="46" spans="1:25" x14ac:dyDescent="0.35">
      <c r="A46" t="str">
        <f>Turvallinen_ja_toimintavarma!I49</f>
        <v>Ei kuulu</v>
      </c>
      <c r="B46" t="str">
        <f>Turvallinen_ja_toimintavarma!P49</f>
        <v/>
      </c>
      <c r="C46" s="74" t="str">
        <f>Turvallinen_ja_toimintavarma!A49</f>
        <v>1,2,3,4</v>
      </c>
      <c r="D46" t="str">
        <f>Turvallinen_ja_toimintavarma!C49</f>
        <v>B</v>
      </c>
      <c r="E46" t="str">
        <f>IF(ISBLANK(Turvallinen_ja_toimintavarma!K49),"_Otsikkorivi",Turvallinen_ja_toimintavarma!K49)</f>
        <v>Turvallinen ja toimintavarma</v>
      </c>
      <c r="F46" t="str">
        <f>Turvallinen_ja_toimintavarma!L49</f>
        <v>3. Kriittiset asiakkaat, väliaikainen vedenjakelu ja poikkeustilanteiden viestintä</v>
      </c>
      <c r="G46" t="str">
        <f>IF(ISBLANK(Turvallinen_ja_toimintavarma!R49),"Otsikkorivi",Turvallinen_ja_toimintavarma!R49)</f>
        <v>3.6 Vesihuoltolaitos seuraa parametria yli 12 h vedentoimituskatkokset (kpl/v, liittyjät/vuosi)</v>
      </c>
      <c r="H46" t="str">
        <f>IF(Turvallinen_ja_toimintavarma!N49="x","Kyllä","Ei")</f>
        <v>Kyllä</v>
      </c>
      <c r="I46" t="str">
        <f>IF(ISBLANK(Turvallinen_ja_toimintavarma!S49),"",Turvallinen_ja_toimintavarma!S49)</f>
        <v/>
      </c>
      <c r="J46">
        <f>LV!$B$10</f>
        <v>0</v>
      </c>
      <c r="K46" t="str">
        <f>LV!$I$18</f>
        <v/>
      </c>
      <c r="L46" t="str">
        <f>IF(ISBLANK(Lähtötiedot!$O$18),"",Lähtötiedot!$O$18)</f>
        <v/>
      </c>
      <c r="M46" t="str">
        <f>IF(ISBLANK(Lähtötiedot!$O$16),"",Lähtötiedot!$O$16)</f>
        <v/>
      </c>
      <c r="N46" s="73" t="str">
        <f>IF(ISBLANK(Lähtötiedot!$O$15),"",Lähtötiedot!$O$15)</f>
        <v/>
      </c>
      <c r="O46" s="73"/>
      <c r="P46" s="40"/>
      <c r="Q46" s="40"/>
      <c r="R46" s="40"/>
      <c r="S46" s="40"/>
      <c r="T46" s="40"/>
      <c r="U46" s="40"/>
      <c r="V46" s="40"/>
      <c r="W46" s="40"/>
      <c r="X46" s="40"/>
      <c r="Y46" s="40"/>
    </row>
    <row r="47" spans="1:25" x14ac:dyDescent="0.35">
      <c r="A47" t="str">
        <f>Turvallinen_ja_toimintavarma!I50</f>
        <v>Ei kuulu</v>
      </c>
      <c r="B47" t="str">
        <f>Turvallinen_ja_toimintavarma!P50</f>
        <v/>
      </c>
      <c r="C47" s="74" t="str">
        <f>Turvallinen_ja_toimintavarma!A50</f>
        <v>1,2,3,4</v>
      </c>
      <c r="D47" t="str">
        <f>Turvallinen_ja_toimintavarma!C50</f>
        <v>B</v>
      </c>
      <c r="E47" t="str">
        <f>IF(ISBLANK(Turvallinen_ja_toimintavarma!K50),"_Otsikkorivi",Turvallinen_ja_toimintavarma!K50)</f>
        <v>Turvallinen ja toimintavarma</v>
      </c>
      <c r="F47" t="str">
        <f>Turvallinen_ja_toimintavarma!L50</f>
        <v>3. Kriittiset asiakkaat, väliaikainen vedenjakelu ja poikkeustilanteiden viestintä</v>
      </c>
      <c r="G47" t="str">
        <f>IF(ISBLANK(Turvallinen_ja_toimintavarma!R50),"Otsikkorivi",Turvallinen_ja_toimintavarma!R50)</f>
        <v>3.7 Vesihuoltolaitoksella on valmius ilmoittaa keittokehotuksesta tai muista vedenkäyttöön liittyvistä häiriöistä vedenkäyttäjille tar-koituksenmukaisia viestintäkanavia käyttäen tarvittaessa myös kohdennetusti (esim. laputtamalla, tekstiviestillä).</v>
      </c>
      <c r="H47" t="str">
        <f>IF(Turvallinen_ja_toimintavarma!N50="x","Kyllä","Ei")</f>
        <v>Kyllä</v>
      </c>
      <c r="I47" t="str">
        <f>IF(ISBLANK(Turvallinen_ja_toimintavarma!S50),"",Turvallinen_ja_toimintavarma!S50)</f>
        <v/>
      </c>
      <c r="J47">
        <f>LV!$B$10</f>
        <v>0</v>
      </c>
      <c r="K47" t="str">
        <f>LV!$I$18</f>
        <v/>
      </c>
      <c r="L47" t="str">
        <f>IF(ISBLANK(Lähtötiedot!$O$18),"",Lähtötiedot!$O$18)</f>
        <v/>
      </c>
      <c r="M47" t="str">
        <f>IF(ISBLANK(Lähtötiedot!$O$16),"",Lähtötiedot!$O$16)</f>
        <v/>
      </c>
      <c r="N47" s="73" t="str">
        <f>IF(ISBLANK(Lähtötiedot!$O$15),"",Lähtötiedot!$O$15)</f>
        <v/>
      </c>
      <c r="O47" s="73"/>
      <c r="P47" s="40"/>
      <c r="Q47" s="40"/>
      <c r="R47" s="40"/>
      <c r="S47" s="40"/>
      <c r="T47" s="40"/>
      <c r="U47" s="40"/>
      <c r="V47" s="40"/>
      <c r="W47" s="40"/>
      <c r="X47" s="40"/>
      <c r="Y47" s="40"/>
    </row>
    <row r="48" spans="1:25" x14ac:dyDescent="0.35">
      <c r="A48" t="str">
        <f>Turvallinen_ja_toimintavarma!I51</f>
        <v>Ei kuulu</v>
      </c>
      <c r="B48" t="str">
        <f>Turvallinen_ja_toimintavarma!P51</f>
        <v/>
      </c>
      <c r="C48" s="74" t="str">
        <f>Turvallinen_ja_toimintavarma!A51</f>
        <v>1,2,3,4</v>
      </c>
      <c r="D48" t="str">
        <f>Turvallinen_ja_toimintavarma!C51</f>
        <v>A,B,C,D</v>
      </c>
      <c r="E48" t="str">
        <f>IF(ISBLANK(Turvallinen_ja_toimintavarma!K51),"_Otsikkorivi",Turvallinen_ja_toimintavarma!K51)</f>
        <v>Turvallinen ja toimintavarma</v>
      </c>
      <c r="F48" t="str">
        <f>Turvallinen_ja_toimintavarma!L51</f>
        <v>3. Kriittiset asiakkaat, väliaikainen vedenjakelu ja poikkeustilanteiden viestintä</v>
      </c>
      <c r="G48" t="str">
        <f>IF(ISBLANK(Turvallinen_ja_toimintavarma!R51),"Otsikkorivi",Turvallinen_ja_toimintavarma!R51)</f>
        <v>3.8 On suunniteltu ja käyttöönotettavissa vaihtoehtoiset tiedon- ja toiminnanhallinnan sekä sisäisen viestinnän menetelmät, mikäli internet ja/tai normaalit tietoliikenneyhteydet eivät toimi.</v>
      </c>
      <c r="H48" t="str">
        <f>IF(Turvallinen_ja_toimintavarma!N51="x","Kyllä","Ei")</f>
        <v>Kyllä</v>
      </c>
      <c r="I48" t="str">
        <f>IF(ISBLANK(Turvallinen_ja_toimintavarma!S51),"",Turvallinen_ja_toimintavarma!S51)</f>
        <v/>
      </c>
      <c r="J48">
        <f>LV!$B$10</f>
        <v>0</v>
      </c>
      <c r="K48" t="str">
        <f>LV!$I$18</f>
        <v/>
      </c>
      <c r="L48" t="str">
        <f>IF(ISBLANK(Lähtötiedot!$O$18),"",Lähtötiedot!$O$18)</f>
        <v/>
      </c>
      <c r="M48" t="str">
        <f>IF(ISBLANK(Lähtötiedot!$O$16),"",Lähtötiedot!$O$16)</f>
        <v/>
      </c>
      <c r="N48" s="73" t="str">
        <f>IF(ISBLANK(Lähtötiedot!$O$15),"",Lähtötiedot!$O$15)</f>
        <v/>
      </c>
      <c r="O48" s="73"/>
      <c r="P48" s="40"/>
      <c r="Q48" s="40"/>
      <c r="R48" s="40"/>
      <c r="S48" s="40"/>
      <c r="T48" s="40"/>
      <c r="U48" s="40"/>
      <c r="V48" s="40"/>
      <c r="W48" s="40"/>
      <c r="X48" s="40"/>
      <c r="Y48" s="40"/>
    </row>
    <row r="49" spans="1:25" x14ac:dyDescent="0.35">
      <c r="A49" t="str">
        <f>Turvallinen_ja_toimintavarma!I52</f>
        <v>Ei kuulu</v>
      </c>
      <c r="B49" t="str">
        <f>Turvallinen_ja_toimintavarma!P52</f>
        <v/>
      </c>
      <c r="C49" s="74" t="str">
        <f>Turvallinen_ja_toimintavarma!A52</f>
        <v>1,2,3,4</v>
      </c>
      <c r="D49" t="str">
        <f>Turvallinen_ja_toimintavarma!C52</f>
        <v>B</v>
      </c>
      <c r="E49" t="str">
        <f>IF(ISBLANK(Turvallinen_ja_toimintavarma!K52),"_Otsikkorivi",Turvallinen_ja_toimintavarma!K52)</f>
        <v>Turvallinen ja toimintavarma</v>
      </c>
      <c r="F49" t="str">
        <f>Turvallinen_ja_toimintavarma!L52</f>
        <v>3. Kriittiset asiakkaat, väliaikainen vedenjakelu ja poikkeustilanteiden viestintä</v>
      </c>
      <c r="G49" t="str">
        <f>IF(ISBLANK(Turvallinen_ja_toimintavarma!R52),"Otsikkorivi",Turvallinen_ja_toimintavarma!R52)</f>
        <v>3.9 Putkirikkojen määrä &lt; 4 kpl/100 km/vuosi</v>
      </c>
      <c r="H49" t="str">
        <f>IF(Turvallinen_ja_toimintavarma!N52="x","Kyllä","Ei")</f>
        <v>Kyllä</v>
      </c>
      <c r="I49" t="str">
        <f>IF(ISBLANK(Turvallinen_ja_toimintavarma!S52),"",Turvallinen_ja_toimintavarma!S52)</f>
        <v/>
      </c>
      <c r="J49">
        <f>LV!$B$10</f>
        <v>0</v>
      </c>
      <c r="K49" t="str">
        <f>LV!$I$18</f>
        <v/>
      </c>
      <c r="L49" t="str">
        <f>IF(ISBLANK(Lähtötiedot!$O$18),"",Lähtötiedot!$O$18)</f>
        <v/>
      </c>
      <c r="M49" t="str">
        <f>IF(ISBLANK(Lähtötiedot!$O$16),"",Lähtötiedot!$O$16)</f>
        <v/>
      </c>
      <c r="N49" s="73" t="str">
        <f>IF(ISBLANK(Lähtötiedot!$O$15),"",Lähtötiedot!$O$15)</f>
        <v/>
      </c>
      <c r="O49" s="73"/>
      <c r="P49" s="40"/>
      <c r="Q49" s="40"/>
      <c r="R49" s="40"/>
      <c r="S49" s="40"/>
      <c r="T49" s="40"/>
      <c r="U49" s="40"/>
      <c r="V49" s="40"/>
      <c r="W49" s="40"/>
      <c r="X49" s="40"/>
      <c r="Y49" s="40"/>
    </row>
    <row r="50" spans="1:25" x14ac:dyDescent="0.35">
      <c r="A50" t="str">
        <f>Turvallinen_ja_toimintavarma!I53</f>
        <v>Ei kuulu</v>
      </c>
      <c r="B50" t="str">
        <f>Turvallinen_ja_toimintavarma!P53</f>
        <v/>
      </c>
      <c r="C50" s="74" t="str">
        <f>Turvallinen_ja_toimintavarma!A53</f>
        <v>1,2,3,4</v>
      </c>
      <c r="D50" t="str">
        <f>Turvallinen_ja_toimintavarma!C53</f>
        <v>B</v>
      </c>
      <c r="E50" t="str">
        <f>IF(ISBLANK(Turvallinen_ja_toimintavarma!K53),"_Otsikkorivi",Turvallinen_ja_toimintavarma!K53)</f>
        <v>Turvallinen ja toimintavarma</v>
      </c>
      <c r="F50" t="str">
        <f>Turvallinen_ja_toimintavarma!L53</f>
        <v>3. Kriittiset asiakkaat, väliaikainen vedenjakelu ja poikkeustilanteiden viestintä</v>
      </c>
      <c r="G50" t="str">
        <f>IF(ISBLANK(Turvallinen_ja_toimintavarma!R53),"Otsikkorivi",Turvallinen_ja_toimintavarma!R53)</f>
        <v>3.10 Laskuttamattoman talousveden osuus &lt; 15 % (1-4)</v>
      </c>
      <c r="H50" t="str">
        <f>IF(Turvallinen_ja_toimintavarma!N53="x","Kyllä","Ei")</f>
        <v>Kyllä</v>
      </c>
      <c r="I50" t="str">
        <f>IF(ISBLANK(Turvallinen_ja_toimintavarma!S53),"",Turvallinen_ja_toimintavarma!S53)</f>
        <v/>
      </c>
      <c r="J50">
        <f>LV!$B$10</f>
        <v>0</v>
      </c>
      <c r="K50" t="str">
        <f>LV!$I$18</f>
        <v/>
      </c>
      <c r="L50" t="str">
        <f>IF(ISBLANK(Lähtötiedot!$O$18),"",Lähtötiedot!$O$18)</f>
        <v/>
      </c>
      <c r="M50" t="str">
        <f>IF(ISBLANK(Lähtötiedot!$O$16),"",Lähtötiedot!$O$16)</f>
        <v/>
      </c>
      <c r="N50" s="73" t="str">
        <f>IF(ISBLANK(Lähtötiedot!$O$15),"",Lähtötiedot!$O$15)</f>
        <v/>
      </c>
      <c r="O50" s="73"/>
      <c r="P50" s="40"/>
      <c r="Q50" s="40"/>
      <c r="R50" s="40"/>
      <c r="S50" s="40"/>
      <c r="T50" s="40"/>
      <c r="U50" s="40"/>
      <c r="V50" s="40"/>
      <c r="W50" s="40"/>
      <c r="X50" s="40"/>
      <c r="Y50" s="40"/>
    </row>
    <row r="51" spans="1:25" x14ac:dyDescent="0.35">
      <c r="A51" t="str">
        <f>Turvallinen_ja_toimintavarma!I54</f>
        <v>Ei kuulu</v>
      </c>
      <c r="B51" t="str">
        <f>Turvallinen_ja_toimintavarma!P54</f>
        <v/>
      </c>
      <c r="C51" s="74" t="str">
        <f>Turvallinen_ja_toimintavarma!A54</f>
        <v>1,2,3,4</v>
      </c>
      <c r="D51" t="str">
        <f>Turvallinen_ja_toimintavarma!C54</f>
        <v>A,B,C,D</v>
      </c>
      <c r="E51" t="str">
        <f>IF(ISBLANK(Turvallinen_ja_toimintavarma!K54),"_Otsikkorivi",Turvallinen_ja_toimintavarma!K54)</f>
        <v>Turvallinen ja toimintavarma</v>
      </c>
      <c r="F51" t="str">
        <f>Turvallinen_ja_toimintavarma!L54</f>
        <v>3. Kriittiset asiakkaat, väliaikainen vedenjakelu ja poikkeustilanteiden viestintä</v>
      </c>
      <c r="G51" t="str">
        <f>IF(ISBLANK(Turvallinen_ja_toimintavarma!R54),"Otsikkorivi",Turvallinen_ja_toimintavarma!R54)</f>
        <v>3.11 Erilaisten häiriötilanteiden viestintä on suunniteltu, ohjeistettu ja sitä harjoitellaan. Yhteystiedot pidetään ajan tasalla.</v>
      </c>
      <c r="H51" t="str">
        <f>IF(Turvallinen_ja_toimintavarma!N54="x","Kyllä","Ei")</f>
        <v>Kyllä</v>
      </c>
      <c r="I51" t="str">
        <f>IF(ISBLANK(Turvallinen_ja_toimintavarma!S54),"",Turvallinen_ja_toimintavarma!S54)</f>
        <v/>
      </c>
      <c r="J51">
        <f>LV!$B$10</f>
        <v>0</v>
      </c>
      <c r="K51" t="str">
        <f>LV!$I$18</f>
        <v/>
      </c>
      <c r="L51" t="str">
        <f>IF(ISBLANK(Lähtötiedot!$O$18),"",Lähtötiedot!$O$18)</f>
        <v/>
      </c>
      <c r="M51" t="str">
        <f>IF(ISBLANK(Lähtötiedot!$O$16),"",Lähtötiedot!$O$16)</f>
        <v/>
      </c>
      <c r="N51" s="73" t="str">
        <f>IF(ISBLANK(Lähtötiedot!$O$15),"",Lähtötiedot!$O$15)</f>
        <v/>
      </c>
      <c r="O51" s="73"/>
      <c r="P51" s="40"/>
      <c r="Q51" s="40"/>
      <c r="R51" s="40"/>
      <c r="S51" s="40"/>
      <c r="T51" s="40"/>
      <c r="U51" s="40"/>
      <c r="V51" s="40"/>
      <c r="W51" s="40"/>
      <c r="X51" s="40"/>
      <c r="Y51" s="40"/>
    </row>
    <row r="52" spans="1:25" x14ac:dyDescent="0.35">
      <c r="A52" t="str">
        <f>Turvallinen_ja_toimintavarma!I55</f>
        <v>Ei kuulu</v>
      </c>
      <c r="B52" t="str">
        <f>Turvallinen_ja_toimintavarma!P55</f>
        <v/>
      </c>
      <c r="C52" s="74" t="str">
        <f>Turvallinen_ja_toimintavarma!A55</f>
        <v>3, 4</v>
      </c>
      <c r="D52" t="str">
        <f>Turvallinen_ja_toimintavarma!C55</f>
        <v>B</v>
      </c>
      <c r="E52" t="str">
        <f>IF(ISBLANK(Turvallinen_ja_toimintavarma!K55),"_Otsikkorivi",Turvallinen_ja_toimintavarma!K55)</f>
        <v>Turvallinen ja toimintavarma</v>
      </c>
      <c r="F52" t="str">
        <f>Turvallinen_ja_toimintavarma!L55</f>
        <v>3. Kriittiset asiakkaat, väliaikainen vedenjakelu ja poikkeustilanteiden viestintä</v>
      </c>
      <c r="G52" t="str">
        <f>IF(ISBLANK(Turvallinen_ja_toimintavarma!R55),"Otsikkorivi",Turvallinen_ja_toimintavarma!R55)</f>
        <v>3.12 Kriittisten asiakkaiden kanssa on käyty neuvottelu vedensaannin turvaamisesta ja tarpeellisten toimenpiteiden määrittely on tehty esim. erillisellä sopimuksella tai kriittisiä asiakkaita ei ole.</v>
      </c>
      <c r="H52" t="str">
        <f>IF(Turvallinen_ja_toimintavarma!N55="x","Kyllä","Ei")</f>
        <v>Kyllä</v>
      </c>
      <c r="I52" t="str">
        <f>IF(ISBLANK(Turvallinen_ja_toimintavarma!S55),"",Turvallinen_ja_toimintavarma!S55)</f>
        <v/>
      </c>
      <c r="J52">
        <f>LV!$B$10</f>
        <v>0</v>
      </c>
      <c r="K52" t="str">
        <f>LV!$I$18</f>
        <v/>
      </c>
      <c r="L52" t="str">
        <f>IF(ISBLANK(Lähtötiedot!$O$18),"",Lähtötiedot!$O$18)</f>
        <v/>
      </c>
      <c r="M52" t="str">
        <f>IF(ISBLANK(Lähtötiedot!$O$16),"",Lähtötiedot!$O$16)</f>
        <v/>
      </c>
      <c r="N52" s="73" t="str">
        <f>IF(ISBLANK(Lähtötiedot!$O$15),"",Lähtötiedot!$O$15)</f>
        <v/>
      </c>
      <c r="O52" s="73"/>
      <c r="P52" s="40"/>
      <c r="Q52" s="40"/>
      <c r="R52" s="40"/>
      <c r="S52" s="40"/>
      <c r="T52" s="40"/>
      <c r="U52" s="40"/>
      <c r="V52" s="40"/>
      <c r="W52" s="40"/>
      <c r="X52" s="40"/>
      <c r="Y52" s="40"/>
    </row>
    <row r="53" spans="1:25" hidden="1" x14ac:dyDescent="0.35">
      <c r="A53" t="str">
        <f>Turvallinen_ja_toimintavarma!I56</f>
        <v>Ei kuulu</v>
      </c>
      <c r="B53" t="str">
        <f>Turvallinen_ja_toimintavarma!P56</f>
        <v/>
      </c>
      <c r="C53" s="74" t="str">
        <f>Turvallinen_ja_toimintavarma!A56</f>
        <v xml:space="preserve">1,2,3,4 </v>
      </c>
      <c r="D53" t="str">
        <f>Turvallinen_ja_toimintavarma!C56</f>
        <v>A,B,C,D</v>
      </c>
      <c r="E53" t="str">
        <f>IF(ISBLANK(Turvallinen_ja_toimintavarma!K56),"_Otsikkorivi",Turvallinen_ja_toimintavarma!K56)</f>
        <v>Turvallinen ja toimintavarma</v>
      </c>
      <c r="F53" t="str">
        <f>Turvallinen_ja_toimintavarma!L56</f>
        <v>_Otsikkorivi</v>
      </c>
      <c r="G53" t="str">
        <f>IF(ISBLANK(Turvallinen_ja_toimintavarma!R56),"Otsikkorivi",Turvallinen_ja_toimintavarma!R56)</f>
        <v>4. Kemikaalit, varaosat ja kriittiset palvelut</v>
      </c>
      <c r="H53" t="str">
        <f>IF(Turvallinen_ja_toimintavarma!N56="x","Kyllä","Ei")</f>
        <v>Ei</v>
      </c>
      <c r="I53" t="str">
        <f>IF(ISBLANK(Turvallinen_ja_toimintavarma!S56),"",Turvallinen_ja_toimintavarma!S56)</f>
        <v/>
      </c>
      <c r="J53">
        <f>LV!$B$10</f>
        <v>0</v>
      </c>
      <c r="K53" t="str">
        <f>LV!$I$18</f>
        <v/>
      </c>
      <c r="L53" t="str">
        <f>IF(ISBLANK(Lähtötiedot!$O$18),"",Lähtötiedot!$O$18)</f>
        <v/>
      </c>
      <c r="M53" t="str">
        <f>IF(ISBLANK(Lähtötiedot!$O$16),"",Lähtötiedot!$O$16)</f>
        <v/>
      </c>
      <c r="N53" s="73" t="str">
        <f>IF(ISBLANK(Lähtötiedot!$O$15),"",Lähtötiedot!$O$15)</f>
        <v/>
      </c>
      <c r="O53" s="73"/>
      <c r="P53" s="40"/>
      <c r="Q53" s="40"/>
      <c r="R53" s="40"/>
      <c r="S53" s="40"/>
      <c r="T53" s="40"/>
      <c r="U53" s="40"/>
      <c r="V53" s="40"/>
      <c r="W53" s="40"/>
      <c r="X53" s="40"/>
      <c r="Y53" s="40"/>
    </row>
    <row r="54" spans="1:25" x14ac:dyDescent="0.35">
      <c r="A54" t="str">
        <f>Turvallinen_ja_toimintavarma!I57</f>
        <v>Ei kuulu</v>
      </c>
      <c r="B54" t="str">
        <f>Turvallinen_ja_toimintavarma!P57</f>
        <v/>
      </c>
      <c r="C54" s="74" t="str">
        <f>Turvallinen_ja_toimintavarma!A57</f>
        <v>1,2,3,4</v>
      </c>
      <c r="D54" t="str">
        <f>Turvallinen_ja_toimintavarma!C57</f>
        <v>A,B,C,D</v>
      </c>
      <c r="E54" t="str">
        <f>IF(ISBLANK(Turvallinen_ja_toimintavarma!K57),"_Otsikkorivi",Turvallinen_ja_toimintavarma!K57)</f>
        <v>Turvallinen ja toimintavarma</v>
      </c>
      <c r="F54" t="str">
        <f>Turvallinen_ja_toimintavarma!L57</f>
        <v>4. Kemikaalit, varaosat ja kriittiset palvelut</v>
      </c>
      <c r="G54" t="str">
        <f>IF(ISBLANK(Turvallinen_ja_toimintavarma!R57),"Otsikkorivi",Turvallinen_ja_toimintavarma!R57)</f>
        <v xml:space="preserve">4.1 Vesihuoltolaitoksen kriittiset materiaalit (kemikaalit, varaosat, yms) on tunnistettu. </v>
      </c>
      <c r="H54" t="str">
        <f>IF(Turvallinen_ja_toimintavarma!N57="x","Kyllä","Ei")</f>
        <v>Kyllä</v>
      </c>
      <c r="I54" t="str">
        <f>IF(ISBLANK(Turvallinen_ja_toimintavarma!S57),"",Turvallinen_ja_toimintavarma!S57)</f>
        <v/>
      </c>
      <c r="J54">
        <f>LV!$B$10</f>
        <v>0</v>
      </c>
      <c r="K54" t="str">
        <f>LV!$I$18</f>
        <v/>
      </c>
      <c r="L54" t="str">
        <f>IF(ISBLANK(Lähtötiedot!$O$18),"",Lähtötiedot!$O$18)</f>
        <v/>
      </c>
      <c r="M54" t="str">
        <f>IF(ISBLANK(Lähtötiedot!$O$16),"",Lähtötiedot!$O$16)</f>
        <v/>
      </c>
      <c r="N54" s="73" t="str">
        <f>IF(ISBLANK(Lähtötiedot!$O$15),"",Lähtötiedot!$O$15)</f>
        <v/>
      </c>
      <c r="O54" s="73"/>
      <c r="P54" s="40"/>
      <c r="Q54" s="40"/>
      <c r="R54" s="40"/>
      <c r="S54" s="40"/>
      <c r="T54" s="40"/>
      <c r="U54" s="40"/>
      <c r="V54" s="40"/>
      <c r="W54" s="40"/>
      <c r="X54" s="40"/>
      <c r="Y54" s="40"/>
    </row>
    <row r="55" spans="1:25" x14ac:dyDescent="0.35">
      <c r="A55" t="str">
        <f>Turvallinen_ja_toimintavarma!I58</f>
        <v>Ei kuulu</v>
      </c>
      <c r="B55" t="str">
        <f>Turvallinen_ja_toimintavarma!P58</f>
        <v/>
      </c>
      <c r="C55" s="74" t="str">
        <f>Turvallinen_ja_toimintavarma!A58</f>
        <v>1,2,3,4</v>
      </c>
      <c r="D55" t="str">
        <f>Turvallinen_ja_toimintavarma!C58</f>
        <v>A,B,C,D</v>
      </c>
      <c r="E55" t="str">
        <f>IF(ISBLANK(Turvallinen_ja_toimintavarma!K58),"_Otsikkorivi",Turvallinen_ja_toimintavarma!K58)</f>
        <v>Turvallinen ja toimintavarma</v>
      </c>
      <c r="F55" t="str">
        <f>Turvallinen_ja_toimintavarma!L58</f>
        <v>4. Kemikaalit, varaosat ja kriittiset palvelut</v>
      </c>
      <c r="G55" t="str">
        <f>IF(ISBLANK(Turvallinen_ja_toimintavarma!R58),"Otsikkorivi",Turvallinen_ja_toimintavarma!R58)</f>
        <v>4.2 Kriittisten materiaalien riittävä varastokapasiteetti ja saatavuus on määritetty ja järjestetty.</v>
      </c>
      <c r="H55" t="str">
        <f>IF(Turvallinen_ja_toimintavarma!N58="x","Kyllä","Ei")</f>
        <v>Kyllä</v>
      </c>
      <c r="I55" t="str">
        <f>IF(ISBLANK(Turvallinen_ja_toimintavarma!S58),"",Turvallinen_ja_toimintavarma!S58)</f>
        <v/>
      </c>
      <c r="J55">
        <f>LV!$B$10</f>
        <v>0</v>
      </c>
      <c r="K55" t="str">
        <f>LV!$I$18</f>
        <v/>
      </c>
      <c r="L55" t="str">
        <f>IF(ISBLANK(Lähtötiedot!$O$18),"",Lähtötiedot!$O$18)</f>
        <v/>
      </c>
      <c r="M55" t="str">
        <f>IF(ISBLANK(Lähtötiedot!$O$16),"",Lähtötiedot!$O$16)</f>
        <v/>
      </c>
      <c r="N55" s="73" t="str">
        <f>IF(ISBLANK(Lähtötiedot!$O$15),"",Lähtötiedot!$O$15)</f>
        <v/>
      </c>
      <c r="O55" s="73"/>
    </row>
    <row r="56" spans="1:25" x14ac:dyDescent="0.35">
      <c r="A56" t="str">
        <f>Turvallinen_ja_toimintavarma!I59</f>
        <v>Ei kuulu</v>
      </c>
      <c r="B56" t="str">
        <f>Turvallinen_ja_toimintavarma!P59</f>
        <v/>
      </c>
      <c r="C56" s="74" t="str">
        <f>Turvallinen_ja_toimintavarma!A59</f>
        <v>2,3,4</v>
      </c>
      <c r="D56" t="str">
        <f>Turvallinen_ja_toimintavarma!C59</f>
        <v>A,B,C,D</v>
      </c>
      <c r="E56" t="str">
        <f>IF(ISBLANK(Turvallinen_ja_toimintavarma!K59),"_Otsikkorivi",Turvallinen_ja_toimintavarma!K59)</f>
        <v>Turvallinen ja toimintavarma</v>
      </c>
      <c r="F56" t="str">
        <f>Turvallinen_ja_toimintavarma!L59</f>
        <v>4. Kemikaalit, varaosat ja kriittiset palvelut</v>
      </c>
      <c r="G56" t="str">
        <f>IF(ISBLANK(Turvallinen_ja_toimintavarma!R59),"Otsikkorivi",Turvallinen_ja_toimintavarma!R59)</f>
        <v xml:space="preserve">4.3 Toimittajien kanssa on neuvoteltu jatkuvuudenhallinnasta. </v>
      </c>
      <c r="H56" t="str">
        <f>IF(Turvallinen_ja_toimintavarma!N59="x","Kyllä","Ei")</f>
        <v>Kyllä</v>
      </c>
      <c r="I56" t="str">
        <f>IF(ISBLANK(Turvallinen_ja_toimintavarma!S59),"",Turvallinen_ja_toimintavarma!S59)</f>
        <v/>
      </c>
      <c r="J56">
        <f>LV!$B$10</f>
        <v>0</v>
      </c>
      <c r="K56" t="str">
        <f>LV!$I$18</f>
        <v/>
      </c>
      <c r="L56" t="str">
        <f>IF(ISBLANK(Lähtötiedot!$O$18),"",Lähtötiedot!$O$18)</f>
        <v/>
      </c>
      <c r="M56" t="str">
        <f>IF(ISBLANK(Lähtötiedot!$O$16),"",Lähtötiedot!$O$16)</f>
        <v/>
      </c>
      <c r="N56" s="73" t="str">
        <f>IF(ISBLANK(Lähtötiedot!$O$15),"",Lähtötiedot!$O$15)</f>
        <v/>
      </c>
      <c r="O56" s="73"/>
    </row>
    <row r="57" spans="1:25" x14ac:dyDescent="0.35">
      <c r="A57" t="str">
        <f>Turvallinen_ja_toimintavarma!I60</f>
        <v>Ei kuulu</v>
      </c>
      <c r="B57" t="str">
        <f>Turvallinen_ja_toimintavarma!P60</f>
        <v/>
      </c>
      <c r="C57" s="74">
        <f>Turvallinen_ja_toimintavarma!A60</f>
        <v>3.4</v>
      </c>
      <c r="D57" t="str">
        <f>Turvallinen_ja_toimintavarma!C60</f>
        <v>A,B,C,D</v>
      </c>
      <c r="E57" t="str">
        <f>IF(ISBLANK(Turvallinen_ja_toimintavarma!K60),"_Otsikkorivi",Turvallinen_ja_toimintavarma!K60)</f>
        <v>Turvallinen ja toimintavarma</v>
      </c>
      <c r="F57" t="str">
        <f>Turvallinen_ja_toimintavarma!L60</f>
        <v>4. Kemikaalit, varaosat ja kriittiset palvelut</v>
      </c>
      <c r="G57" t="str">
        <f>IF(ISBLANK(Turvallinen_ja_toimintavarma!R60),"Otsikkorivi",Turvallinen_ja_toimintavarma!R60)</f>
        <v xml:space="preserve">4.4 Kriittisten materiaalien saanti on otettu huomioon sopimuksissa (esim. SOPIVA-sopimuslausekkeet). </v>
      </c>
      <c r="H57" t="str">
        <f>IF(Turvallinen_ja_toimintavarma!N60="x","Kyllä","Ei")</f>
        <v>Kyllä</v>
      </c>
      <c r="I57" t="str">
        <f>IF(ISBLANK(Turvallinen_ja_toimintavarma!S60),"",Turvallinen_ja_toimintavarma!S60)</f>
        <v/>
      </c>
      <c r="J57">
        <f>LV!$B$10</f>
        <v>0</v>
      </c>
      <c r="K57" t="str">
        <f>LV!$I$18</f>
        <v/>
      </c>
      <c r="L57" t="str">
        <f>IF(ISBLANK(Lähtötiedot!$O$18),"",Lähtötiedot!$O$18)</f>
        <v/>
      </c>
      <c r="M57" t="str">
        <f>IF(ISBLANK(Lähtötiedot!$O$16),"",Lähtötiedot!$O$16)</f>
        <v/>
      </c>
      <c r="N57" s="73" t="str">
        <f>IF(ISBLANK(Lähtötiedot!$O$15),"",Lähtötiedot!$O$15)</f>
        <v/>
      </c>
      <c r="O57" s="73"/>
    </row>
    <row r="58" spans="1:25" x14ac:dyDescent="0.35">
      <c r="A58" t="str">
        <f>Turvallinen_ja_toimintavarma!I61</f>
        <v>Ei kuulu</v>
      </c>
      <c r="B58" t="str">
        <f>Turvallinen_ja_toimintavarma!P61</f>
        <v/>
      </c>
      <c r="C58" s="74" t="str">
        <f>Turvallinen_ja_toimintavarma!A61</f>
        <v>1,2,3,4</v>
      </c>
      <c r="D58" t="str">
        <f>Turvallinen_ja_toimintavarma!C61</f>
        <v>A,B,C,D</v>
      </c>
      <c r="E58" t="str">
        <f>IF(ISBLANK(Turvallinen_ja_toimintavarma!K61),"_Otsikkorivi",Turvallinen_ja_toimintavarma!K61)</f>
        <v>Turvallinen ja toimintavarma</v>
      </c>
      <c r="F58" t="str">
        <f>Turvallinen_ja_toimintavarma!L61</f>
        <v>4. Kemikaalit, varaosat ja kriittiset palvelut</v>
      </c>
      <c r="G58" t="str">
        <f>IF(ISBLANK(Turvallinen_ja_toimintavarma!R61),"Otsikkorivi",Turvallinen_ja_toimintavarma!R61)</f>
        <v>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v>
      </c>
      <c r="H58" t="str">
        <f>IF(Turvallinen_ja_toimintavarma!N61="x","Kyllä","Ei")</f>
        <v>Kyllä</v>
      </c>
      <c r="I58" t="str">
        <f>IF(ISBLANK(Turvallinen_ja_toimintavarma!S61),"",Turvallinen_ja_toimintavarma!S61)</f>
        <v/>
      </c>
      <c r="J58">
        <f>LV!$B$10</f>
        <v>0</v>
      </c>
      <c r="K58" t="str">
        <f>LV!$I$18</f>
        <v/>
      </c>
      <c r="L58" t="str">
        <f>IF(ISBLANK(Lähtötiedot!$O$18),"",Lähtötiedot!$O$18)</f>
        <v/>
      </c>
      <c r="M58" t="str">
        <f>IF(ISBLANK(Lähtötiedot!$O$16),"",Lähtötiedot!$O$16)</f>
        <v/>
      </c>
      <c r="N58" s="73" t="str">
        <f>IF(ISBLANK(Lähtötiedot!$O$15),"",Lähtötiedot!$O$15)</f>
        <v/>
      </c>
      <c r="O58" s="73"/>
    </row>
    <row r="59" spans="1:25" x14ac:dyDescent="0.35">
      <c r="A59" t="str">
        <f>Turvallinen_ja_toimintavarma!I62</f>
        <v>Ei kuulu</v>
      </c>
      <c r="B59" t="str">
        <f>Turvallinen_ja_toimintavarma!P62</f>
        <v/>
      </c>
      <c r="C59" s="74" t="str">
        <f>Turvallinen_ja_toimintavarma!A62</f>
        <v>1,2,3,4</v>
      </c>
      <c r="D59" t="str">
        <f>Turvallinen_ja_toimintavarma!C62</f>
        <v>A,B,C,D</v>
      </c>
      <c r="E59" t="str">
        <f>IF(ISBLANK(Turvallinen_ja_toimintavarma!K62),"_Otsikkorivi",Turvallinen_ja_toimintavarma!K62)</f>
        <v>Turvallinen ja toimintavarma</v>
      </c>
      <c r="F59" t="str">
        <f>Turvallinen_ja_toimintavarma!L62</f>
        <v>4. Kemikaalit, varaosat ja kriittiset palvelut</v>
      </c>
      <c r="G59" t="str">
        <f>IF(ISBLANK(Turvallinen_ja_toimintavarma!R62),"Otsikkorivi",Turvallinen_ja_toimintavarma!R62)</f>
        <v>4.6 Vesihuoltolaitoksen kriittiset palvelut (perustoiminnan ylläpitämisen edellyttämät jatkuvat palvelut, esim. logistiikka) on tunnistettu.</v>
      </c>
      <c r="H59" t="str">
        <f>IF(Turvallinen_ja_toimintavarma!N62="x","Kyllä","Ei")</f>
        <v>Kyllä</v>
      </c>
      <c r="I59" t="str">
        <f>IF(ISBLANK(Turvallinen_ja_toimintavarma!S62),"",Turvallinen_ja_toimintavarma!S62)</f>
        <v/>
      </c>
      <c r="J59">
        <f>LV!$B$10</f>
        <v>0</v>
      </c>
      <c r="K59" t="str">
        <f>LV!$I$18</f>
        <v/>
      </c>
      <c r="L59" t="str">
        <f>IF(ISBLANK(Lähtötiedot!$O$18),"",Lähtötiedot!$O$18)</f>
        <v/>
      </c>
      <c r="M59" t="str">
        <f>IF(ISBLANK(Lähtötiedot!$O$16),"",Lähtötiedot!$O$16)</f>
        <v/>
      </c>
      <c r="N59" s="73" t="str">
        <f>IF(ISBLANK(Lähtötiedot!$O$15),"",Lähtötiedot!$O$15)</f>
        <v/>
      </c>
      <c r="O59" s="73"/>
    </row>
    <row r="60" spans="1:25" x14ac:dyDescent="0.35">
      <c r="A60" t="str">
        <f>Turvallinen_ja_toimintavarma!I63</f>
        <v>Ei kuulu</v>
      </c>
      <c r="B60" t="str">
        <f>Turvallinen_ja_toimintavarma!P63</f>
        <v/>
      </c>
      <c r="C60" s="74" t="str">
        <f>Turvallinen_ja_toimintavarma!A63</f>
        <v>1,2,3,4</v>
      </c>
      <c r="D60" t="str">
        <f>Turvallinen_ja_toimintavarma!C63</f>
        <v>A,B,C,D</v>
      </c>
      <c r="E60" t="str">
        <f>IF(ISBLANK(Turvallinen_ja_toimintavarma!K63),"_Otsikkorivi",Turvallinen_ja_toimintavarma!K63)</f>
        <v>Turvallinen ja toimintavarma</v>
      </c>
      <c r="F60" t="str">
        <f>Turvallinen_ja_toimintavarma!L63</f>
        <v>4. Kemikaalit, varaosat ja kriittiset palvelut</v>
      </c>
      <c r="G60" t="str">
        <f>IF(ISBLANK(Turvallinen_ja_toimintavarma!R63),"Otsikkorivi",Turvallinen_ja_toimintavarma!R63)</f>
        <v>4.7 Vesihuoltolaitoksen kriittisten palveluiden riittävä saatavuus on määritetty ja varmistettu.</v>
      </c>
      <c r="H60" t="str">
        <f>IF(Turvallinen_ja_toimintavarma!N63="x","Kyllä","Ei")</f>
        <v>Kyllä</v>
      </c>
      <c r="I60" t="str">
        <f>IF(ISBLANK(Turvallinen_ja_toimintavarma!S63),"",Turvallinen_ja_toimintavarma!S63)</f>
        <v/>
      </c>
      <c r="J60">
        <f>LV!$B$10</f>
        <v>0</v>
      </c>
      <c r="K60" t="str">
        <f>LV!$I$18</f>
        <v/>
      </c>
      <c r="L60" t="str">
        <f>IF(ISBLANK(Lähtötiedot!$O$18),"",Lähtötiedot!$O$18)</f>
        <v/>
      </c>
      <c r="M60" t="str">
        <f>IF(ISBLANK(Lähtötiedot!$O$16),"",Lähtötiedot!$O$16)</f>
        <v/>
      </c>
      <c r="N60" s="73" t="str">
        <f>IF(ISBLANK(Lähtötiedot!$O$15),"",Lähtötiedot!$O$15)</f>
        <v/>
      </c>
      <c r="O60" s="73"/>
    </row>
    <row r="61" spans="1:25" x14ac:dyDescent="0.35">
      <c r="A61" t="str">
        <f>Turvallinen_ja_toimintavarma!I64</f>
        <v>Ei kuulu</v>
      </c>
      <c r="B61" t="str">
        <f>Turvallinen_ja_toimintavarma!P64</f>
        <v/>
      </c>
      <c r="C61" s="74" t="str">
        <f>Turvallinen_ja_toimintavarma!A64</f>
        <v>2,3,4</v>
      </c>
      <c r="D61" t="str">
        <f>Turvallinen_ja_toimintavarma!C64</f>
        <v>A,B,C,D</v>
      </c>
      <c r="E61" t="str">
        <f>IF(ISBLANK(Turvallinen_ja_toimintavarma!K64),"_Otsikkorivi",Turvallinen_ja_toimintavarma!K64)</f>
        <v>Turvallinen ja toimintavarma</v>
      </c>
      <c r="F61" t="str">
        <f>Turvallinen_ja_toimintavarma!L64</f>
        <v>4. Kemikaalit, varaosat ja kriittiset palvelut</v>
      </c>
      <c r="G61" t="str">
        <f>IF(ISBLANK(Turvallinen_ja_toimintavarma!R64),"Otsikkorivi",Turvallinen_ja_toimintavarma!R64)</f>
        <v>4.8 Palvelutarjoajien kanssa on neuvoteltu jatkuvuudenhallinnasta. (esim. VAP-varaukset)</v>
      </c>
      <c r="H61" t="str">
        <f>IF(Turvallinen_ja_toimintavarma!N64="x","Kyllä","Ei")</f>
        <v>Kyllä</v>
      </c>
      <c r="I61" t="str">
        <f>IF(ISBLANK(Turvallinen_ja_toimintavarma!S64),"",Turvallinen_ja_toimintavarma!S64)</f>
        <v/>
      </c>
      <c r="J61">
        <f>LV!$B$10</f>
        <v>0</v>
      </c>
      <c r="K61" t="str">
        <f>LV!$I$18</f>
        <v/>
      </c>
      <c r="L61" t="str">
        <f>IF(ISBLANK(Lähtötiedot!$O$18),"",Lähtötiedot!$O$18)</f>
        <v/>
      </c>
      <c r="M61" t="str">
        <f>IF(ISBLANK(Lähtötiedot!$O$16),"",Lähtötiedot!$O$16)</f>
        <v/>
      </c>
      <c r="N61" s="73" t="str">
        <f>IF(ISBLANK(Lähtötiedot!$O$15),"",Lähtötiedot!$O$15)</f>
        <v/>
      </c>
      <c r="O61" s="73"/>
    </row>
    <row r="62" spans="1:25" x14ac:dyDescent="0.35">
      <c r="A62" t="str">
        <f>Turvallinen_ja_toimintavarma!I65</f>
        <v>Ei kuulu</v>
      </c>
      <c r="B62" t="str">
        <f>Turvallinen_ja_toimintavarma!P65</f>
        <v/>
      </c>
      <c r="C62" s="74">
        <f>Turvallinen_ja_toimintavarma!A65</f>
        <v>3.4</v>
      </c>
      <c r="D62" t="str">
        <f>Turvallinen_ja_toimintavarma!C65</f>
        <v>A,B,C,D</v>
      </c>
      <c r="E62" t="str">
        <f>IF(ISBLANK(Turvallinen_ja_toimintavarma!K65),"_Otsikkorivi",Turvallinen_ja_toimintavarma!K65)</f>
        <v>Turvallinen ja toimintavarma</v>
      </c>
      <c r="F62" t="str">
        <f>Turvallinen_ja_toimintavarma!L65</f>
        <v>4. Kemikaalit, varaosat ja kriittiset palvelut</v>
      </c>
      <c r="G62" t="str">
        <f>IF(ISBLANK(Turvallinen_ja_toimintavarma!R65),"Otsikkorivi",Turvallinen_ja_toimintavarma!R65)</f>
        <v>4.9 Kriittisten palvelujen saanti on otettu huomioon sopimuksissa (esim. SOPIVA-sopimuslausekkeet).</v>
      </c>
      <c r="H62" t="str">
        <f>IF(Turvallinen_ja_toimintavarma!N65="x","Kyllä","Ei")</f>
        <v>Kyllä</v>
      </c>
      <c r="I62" t="str">
        <f>IF(ISBLANK(Turvallinen_ja_toimintavarma!S65),"",Turvallinen_ja_toimintavarma!S65)</f>
        <v/>
      </c>
      <c r="J62">
        <f>LV!$B$10</f>
        <v>0</v>
      </c>
      <c r="K62" t="str">
        <f>LV!$I$18</f>
        <v/>
      </c>
      <c r="L62" t="str">
        <f>IF(ISBLANK(Lähtötiedot!$O$18),"",Lähtötiedot!$O$18)</f>
        <v/>
      </c>
      <c r="M62" t="str">
        <f>IF(ISBLANK(Lähtötiedot!$O$16),"",Lähtötiedot!$O$16)</f>
        <v/>
      </c>
      <c r="N62" s="73" t="str">
        <f>IF(ISBLANK(Lähtötiedot!$O$15),"",Lähtötiedot!$O$15)</f>
        <v/>
      </c>
      <c r="O62" s="73"/>
    </row>
    <row r="63" spans="1:25" hidden="1" x14ac:dyDescent="0.35">
      <c r="A63" t="str">
        <f>Kustannustehokas_ja_organisoitu!I5</f>
        <v>Ei kuulu</v>
      </c>
      <c r="B63" t="str">
        <f>Kustannustehokas_ja_organisoitu!P5</f>
        <v/>
      </c>
      <c r="C63" s="74" t="str">
        <f>Kustannustehokas_ja_organisoitu!A5</f>
        <v xml:space="preserve">1,2,3,4 </v>
      </c>
      <c r="D63" t="str">
        <f>Kustannustehokas_ja_organisoitu!C5</f>
        <v>A,B,C,D</v>
      </c>
      <c r="E63" t="str">
        <f>IF(ISBLANK(Kustannustehokas_ja_organisoitu!K5),"_Otsikkorivi",Kustannustehokas_ja_organisoitu!K5)</f>
        <v>Kustannustehokas ja organisoitu</v>
      </c>
      <c r="F63" t="str">
        <f>Kustannustehokas_ja_organisoitu!L5</f>
        <v>_Otsikkorivi</v>
      </c>
      <c r="G63" t="str">
        <f>IF(ISBLANK(Kustannustehokas_ja_organisoitu!R5),"Otsikkorivi",Kustannustehokas_ja_organisoitu!R5)</f>
        <v>5. Laitoksella on riittävät henkilöstöresurssit ja ammattitaitoinen henkilökunta, ja varallaolo on suunniteltu</v>
      </c>
      <c r="H63" t="str">
        <f>IF(Kustannustehokas_ja_organisoitu!N5="x","Kyllä","Ei")</f>
        <v>Ei</v>
      </c>
      <c r="I63" t="str">
        <f>IF(ISBLANK(Kustannustehokas_ja_organisoitu!S5),"",Kustannustehokas_ja_organisoitu!S5)</f>
        <v/>
      </c>
      <c r="J63">
        <f>LV!$B$10</f>
        <v>0</v>
      </c>
      <c r="K63" t="str">
        <f>LV!$I$18</f>
        <v/>
      </c>
      <c r="L63" t="str">
        <f>IF(ISBLANK(Lähtötiedot!$O$18),"",Lähtötiedot!$O$18)</f>
        <v/>
      </c>
      <c r="M63" t="str">
        <f>IF(ISBLANK(Lähtötiedot!$O$16),"",Lähtötiedot!$O$16)</f>
        <v/>
      </c>
      <c r="N63" s="73" t="str">
        <f>IF(ISBLANK(Lähtötiedot!$O$15),"",Lähtötiedot!$O$15)</f>
        <v/>
      </c>
      <c r="O63" s="73"/>
    </row>
    <row r="64" spans="1:25" x14ac:dyDescent="0.35">
      <c r="A64" t="str">
        <f>Kustannustehokas_ja_organisoitu!I6</f>
        <v>Ei kuulu</v>
      </c>
      <c r="B64" t="str">
        <f>Kustannustehokas_ja_organisoitu!P6</f>
        <v/>
      </c>
      <c r="C64" s="74" t="str">
        <f>Kustannustehokas_ja_organisoitu!A6</f>
        <v>1,2,3,4</v>
      </c>
      <c r="D64" t="str">
        <f>Kustannustehokas_ja_organisoitu!C6</f>
        <v>A,B,C,D</v>
      </c>
      <c r="E64" t="str">
        <f>IF(ISBLANK(Kustannustehokas_ja_organisoitu!K6),"_Otsikkorivi",Kustannustehokas_ja_organisoitu!K6)</f>
        <v>Kustannustehokas ja organisoitu</v>
      </c>
      <c r="F64" t="str">
        <f>Kustannustehokas_ja_organisoitu!L6</f>
        <v>5. Laitoksella on riittävät henkilöstöresurssit ja ammattitaitoinen henkilökunta, ja varallaolo on suunniteltu</v>
      </c>
      <c r="G64" t="str">
        <f>IF(ISBLANK(Kustannustehokas_ja_organisoitu!R6),"Otsikkorivi",Kustannustehokas_ja_organisoitu!R6)</f>
        <v>5.1 Henkilöstöllä on mahdollisuus kouluttautua ja työnantaja järjestää koulutusta havaitun tarpeen mukaan säännöllisesti.</v>
      </c>
      <c r="H64" t="str">
        <f>IF(Kustannustehokas_ja_organisoitu!N6="x","Kyllä","Ei")</f>
        <v>Ei</v>
      </c>
      <c r="I64" t="str">
        <f>IF(ISBLANK(Kustannustehokas_ja_organisoitu!S6),"",Kustannustehokas_ja_organisoitu!S6)</f>
        <v/>
      </c>
      <c r="J64">
        <f>LV!$B$10</f>
        <v>0</v>
      </c>
      <c r="K64" t="str">
        <f>LV!$I$18</f>
        <v/>
      </c>
      <c r="L64" t="str">
        <f>IF(ISBLANK(Lähtötiedot!$O$18),"",Lähtötiedot!$O$18)</f>
        <v/>
      </c>
      <c r="M64" t="str">
        <f>IF(ISBLANK(Lähtötiedot!$O$16),"",Lähtötiedot!$O$16)</f>
        <v/>
      </c>
      <c r="N64" s="73" t="str">
        <f>IF(ISBLANK(Lähtötiedot!$O$15),"",Lähtötiedot!$O$15)</f>
        <v/>
      </c>
      <c r="O64" s="73"/>
    </row>
    <row r="65" spans="1:15" x14ac:dyDescent="0.35">
      <c r="A65" t="str">
        <f>Kustannustehokas_ja_organisoitu!I7</f>
        <v>Ei kuulu</v>
      </c>
      <c r="B65" t="str">
        <f>Kustannustehokas_ja_organisoitu!P7</f>
        <v/>
      </c>
      <c r="C65" s="74" t="str">
        <f>Kustannustehokas_ja_organisoitu!A7</f>
        <v>1,2,3,4</v>
      </c>
      <c r="D65" t="str">
        <f>Kustannustehokas_ja_organisoitu!C7</f>
        <v>A,B,C,D</v>
      </c>
      <c r="E65" t="str">
        <f>IF(ISBLANK(Kustannustehokas_ja_organisoitu!K7),"_Otsikkorivi",Kustannustehokas_ja_organisoitu!K7)</f>
        <v>Kustannustehokas ja organisoitu</v>
      </c>
      <c r="F65" t="str">
        <f>Kustannustehokas_ja_organisoitu!L7</f>
        <v>5. Laitoksella on riittävät henkilöstöresurssit ja ammattitaitoinen henkilökunta, ja varallaolo on suunniteltu</v>
      </c>
      <c r="G65" t="str">
        <f>IF(ISBLANK(Kustannustehokas_ja_organisoitu!R7),"Otsikkorivi",Kustannustehokas_ja_organisoitu!R7)</f>
        <v>5.2 Vesihuoltolaitoksella on varallaolojärjestelmä, joka turvaa laitoksen operatiivisen toiminnan 24/7. Työajan ulkopuolisen ajan johtamisjärjestelyt on sovittu ja ohjeistettu. Hälytysyhteystieto on olemassa.</v>
      </c>
      <c r="H65" t="str">
        <f>IF(Kustannustehokas_ja_organisoitu!N7="x","Kyllä","Ei")</f>
        <v>Kyllä</v>
      </c>
      <c r="I65" t="str">
        <f>IF(ISBLANK(Kustannustehokas_ja_organisoitu!S7),"",Kustannustehokas_ja_organisoitu!S7)</f>
        <v/>
      </c>
      <c r="J65">
        <f>LV!$B$10</f>
        <v>0</v>
      </c>
      <c r="K65" t="str">
        <f>LV!$I$18</f>
        <v/>
      </c>
      <c r="L65" t="str">
        <f>IF(ISBLANK(Lähtötiedot!$O$18),"",Lähtötiedot!$O$18)</f>
        <v/>
      </c>
      <c r="M65" t="str">
        <f>IF(ISBLANK(Lähtötiedot!$O$16),"",Lähtötiedot!$O$16)</f>
        <v/>
      </c>
      <c r="N65" s="73" t="str">
        <f>IF(ISBLANK(Lähtötiedot!$O$15),"",Lähtötiedot!$O$15)</f>
        <v/>
      </c>
      <c r="O65" s="73"/>
    </row>
    <row r="66" spans="1:15" x14ac:dyDescent="0.35">
      <c r="A66" t="str">
        <f>Kustannustehokas_ja_organisoitu!I8</f>
        <v>Ei kuulu</v>
      </c>
      <c r="B66" t="str">
        <f>Kustannustehokas_ja_organisoitu!P8</f>
        <v/>
      </c>
      <c r="C66" s="74" t="str">
        <f>Kustannustehokas_ja_organisoitu!A8</f>
        <v>1,2,3,4</v>
      </c>
      <c r="D66" t="str">
        <f>Kustannustehokas_ja_organisoitu!C8</f>
        <v>A,B,C,D</v>
      </c>
      <c r="E66" t="str">
        <f>IF(ISBLANK(Kustannustehokas_ja_organisoitu!K8),"_Otsikkorivi",Kustannustehokas_ja_organisoitu!K8)</f>
        <v>Kustannustehokas ja organisoitu</v>
      </c>
      <c r="F66" t="str">
        <f>Kustannustehokas_ja_organisoitu!L8</f>
        <v>5. Laitoksella on riittävät henkilöstöresurssit ja ammattitaitoinen henkilökunta, ja varallaolo on suunniteltu</v>
      </c>
      <c r="G66" t="str">
        <f>IF(ISBLANK(Kustannustehokas_ja_organisoitu!R8),"Otsikkorivi",Kustannustehokas_ja_organisoitu!R8)</f>
        <v>5.3 Henkilökunta pystyy huolehtimaan kaikista operatiiviseen toimintaan liittyvistä kriittisistä toiminnoista itsenäisesti. TAI Vesihuoltolaitoksella on palvelusopimukset kriittisten toimintojen osalta.</v>
      </c>
      <c r="H66" t="str">
        <f>IF(Kustannustehokas_ja_organisoitu!N8="x","Kyllä","Ei")</f>
        <v>Kyllä</v>
      </c>
      <c r="I66" t="str">
        <f>IF(ISBLANK(Kustannustehokas_ja_organisoitu!S8),"",Kustannustehokas_ja_organisoitu!S8)</f>
        <v/>
      </c>
      <c r="J66">
        <f>LV!$B$10</f>
        <v>0</v>
      </c>
      <c r="K66" t="str">
        <f>LV!$I$18</f>
        <v/>
      </c>
      <c r="L66" t="str">
        <f>IF(ISBLANK(Lähtötiedot!$O$18),"",Lähtötiedot!$O$18)</f>
        <v/>
      </c>
      <c r="M66" t="str">
        <f>IF(ISBLANK(Lähtötiedot!$O$16),"",Lähtötiedot!$O$16)</f>
        <v/>
      </c>
      <c r="N66" s="73" t="str">
        <f>IF(ISBLANK(Lähtötiedot!$O$15),"",Lähtötiedot!$O$15)</f>
        <v/>
      </c>
      <c r="O66" s="73"/>
    </row>
    <row r="67" spans="1:15" x14ac:dyDescent="0.35">
      <c r="A67" t="str">
        <f>Kustannustehokas_ja_organisoitu!I9</f>
        <v>Ei kuulu</v>
      </c>
      <c r="B67" t="str">
        <f>Kustannustehokas_ja_organisoitu!P9</f>
        <v/>
      </c>
      <c r="C67" s="74" t="str">
        <f>Kustannustehokas_ja_organisoitu!A9</f>
        <v>1,2,3,4</v>
      </c>
      <c r="D67" t="str">
        <f>Kustannustehokas_ja_organisoitu!C9</f>
        <v>A,B,C,D</v>
      </c>
      <c r="E67" t="str">
        <f>IF(ISBLANK(Kustannustehokas_ja_organisoitu!K9),"_Otsikkorivi",Kustannustehokas_ja_organisoitu!K9)</f>
        <v>Kustannustehokas ja organisoitu</v>
      </c>
      <c r="F67" t="str">
        <f>Kustannustehokas_ja_organisoitu!L9</f>
        <v>5. Laitoksella on riittävät henkilöstöresurssit ja ammattitaitoinen henkilökunta, ja varallaolo on suunniteltu</v>
      </c>
      <c r="G67" t="str">
        <f>IF(ISBLANK(Kustannustehokas_ja_organisoitu!R9),"Otsikkorivi",Kustannustehokas_ja_organisoitu!R9)</f>
        <v xml:space="preserve">5.4 Henkilöstölle on laadittu laitoksen omat osaamistasovaatimukset. Osaamistasomäärityksessä voidaan hyödyntää esim. Vesihuoltolaitosten osaamiskriteerit -hankkeen osaamiskartoitustyökalua. </v>
      </c>
      <c r="H67" t="str">
        <f>IF(Kustannustehokas_ja_organisoitu!N9="x","Kyllä","Ei")</f>
        <v>Kyllä</v>
      </c>
      <c r="I67" t="str">
        <f>IF(ISBLANK(Kustannustehokas_ja_organisoitu!S9),"",Kustannustehokas_ja_organisoitu!S9)</f>
        <v/>
      </c>
      <c r="J67">
        <f>LV!$B$10</f>
        <v>0</v>
      </c>
      <c r="K67" t="str">
        <f>LV!$I$18</f>
        <v/>
      </c>
      <c r="L67" t="str">
        <f>IF(ISBLANK(Lähtötiedot!$O$18),"",Lähtötiedot!$O$18)</f>
        <v/>
      </c>
      <c r="M67" t="str">
        <f>IF(ISBLANK(Lähtötiedot!$O$16),"",Lähtötiedot!$O$16)</f>
        <v/>
      </c>
      <c r="N67" s="73" t="str">
        <f>IF(ISBLANK(Lähtötiedot!$O$15),"",Lähtötiedot!$O$15)</f>
        <v/>
      </c>
      <c r="O67" s="73"/>
    </row>
    <row r="68" spans="1:15" x14ac:dyDescent="0.35">
      <c r="A68" t="str">
        <f>Kustannustehokas_ja_organisoitu!I10</f>
        <v>Ei kuulu</v>
      </c>
      <c r="B68" t="str">
        <f>Kustannustehokas_ja_organisoitu!P10</f>
        <v/>
      </c>
      <c r="C68" s="74" t="str">
        <f>Kustannustehokas_ja_organisoitu!A10</f>
        <v>1,2,3,4</v>
      </c>
      <c r="D68" t="str">
        <f>Kustannustehokas_ja_organisoitu!C10</f>
        <v>A,B,C,D</v>
      </c>
      <c r="E68" t="str">
        <f>IF(ISBLANK(Kustannustehokas_ja_organisoitu!K10),"_Otsikkorivi",Kustannustehokas_ja_organisoitu!K10)</f>
        <v>Kustannustehokas ja organisoitu</v>
      </c>
      <c r="F68" t="str">
        <f>Kustannustehokas_ja_organisoitu!L10</f>
        <v>5. Laitoksella on riittävät henkilöstöresurssit ja ammattitaitoinen henkilökunta, ja varallaolo on suunniteltu</v>
      </c>
      <c r="G68" t="str">
        <f>IF(ISBLANK(Kustannustehokas_ja_organisoitu!R10),"Otsikkorivi",Kustannustehokas_ja_organisoitu!R10)</f>
        <v>5.5 Avainhenkilöt eli perustoiminnon ylläpitämisessä kriittiset henkilöt on tunnistettu ja nimetty. Avainhenkilöille on nimetty varahenkilöt, jotka on perehdytetty työnkuvaan.</v>
      </c>
      <c r="H68" t="str">
        <f>IF(Kustannustehokas_ja_organisoitu!N10="x","Kyllä","Ei")</f>
        <v>Kyllä</v>
      </c>
      <c r="I68" t="str">
        <f>IF(ISBLANK(Kustannustehokas_ja_organisoitu!S10),"",Kustannustehokas_ja_organisoitu!S10)</f>
        <v/>
      </c>
      <c r="J68">
        <f>LV!$B$10</f>
        <v>0</v>
      </c>
      <c r="K68" t="str">
        <f>LV!$I$18</f>
        <v/>
      </c>
      <c r="L68" t="str">
        <f>IF(ISBLANK(Lähtötiedot!$O$18),"",Lähtötiedot!$O$18)</f>
        <v/>
      </c>
      <c r="M68" t="str">
        <f>IF(ISBLANK(Lähtötiedot!$O$16),"",Lähtötiedot!$O$16)</f>
        <v/>
      </c>
      <c r="N68" s="73" t="str">
        <f>IF(ISBLANK(Lähtötiedot!$O$15),"",Lähtötiedot!$O$15)</f>
        <v/>
      </c>
      <c r="O68" s="73"/>
    </row>
    <row r="69" spans="1:15" x14ac:dyDescent="0.35">
      <c r="A69" t="str">
        <f>Kustannustehokas_ja_organisoitu!I11</f>
        <v>Ei kuulu</v>
      </c>
      <c r="B69" t="str">
        <f>Kustannustehokas_ja_organisoitu!P11</f>
        <v/>
      </c>
      <c r="C69" s="74">
        <f>Kustannustehokas_ja_organisoitu!A11</f>
        <v>4</v>
      </c>
      <c r="D69" t="str">
        <f>Kustannustehokas_ja_organisoitu!C11</f>
        <v>A,B,C,D</v>
      </c>
      <c r="E69" t="str">
        <f>IF(ISBLANK(Kustannustehokas_ja_organisoitu!K11),"_Otsikkorivi",Kustannustehokas_ja_organisoitu!K11)</f>
        <v>Kustannustehokas ja organisoitu</v>
      </c>
      <c r="F69" t="str">
        <f>Kustannustehokas_ja_organisoitu!L11</f>
        <v>5. Laitoksella on riittävät henkilöstöresurssit ja ammattitaitoinen henkilökunta, ja varallaolo on suunniteltu</v>
      </c>
      <c r="G69" t="str">
        <f>IF(ISBLANK(Kustannustehokas_ja_organisoitu!R11),"Otsikkorivi",Kustannustehokas_ja_organisoitu!R11)</f>
        <v>5.6 Vesihuoltolaitoksella on henkilökuntaa riittävästi, jotta omat tai ostopalvelut pystytään hoitamaan ennalta laaditun aikataulun mukaisesti (materiaalit, suunnittelu, rakentaminen, kunnossapito) ja hankkeita ei tarvitse viivyttää henkilöresurssien takia.</v>
      </c>
      <c r="H69" t="str">
        <f>IF(Kustannustehokas_ja_organisoitu!N11="x","Kyllä","Ei")</f>
        <v>Ei</v>
      </c>
      <c r="I69" t="str">
        <f>IF(ISBLANK(Kustannustehokas_ja_organisoitu!S11),"",Kustannustehokas_ja_organisoitu!S11)</f>
        <v/>
      </c>
      <c r="J69">
        <f>LV!$B$10</f>
        <v>0</v>
      </c>
      <c r="K69" t="str">
        <f>LV!$I$18</f>
        <v/>
      </c>
      <c r="L69" t="str">
        <f>IF(ISBLANK(Lähtötiedot!$O$18),"",Lähtötiedot!$O$18)</f>
        <v/>
      </c>
      <c r="M69" t="str">
        <f>IF(ISBLANK(Lähtötiedot!$O$16),"",Lähtötiedot!$O$16)</f>
        <v/>
      </c>
      <c r="N69" s="73" t="str">
        <f>IF(ISBLANK(Lähtötiedot!$O$15),"",Lähtötiedot!$O$15)</f>
        <v/>
      </c>
      <c r="O69" s="73"/>
    </row>
    <row r="70" spans="1:15" hidden="1" x14ac:dyDescent="0.35">
      <c r="A70" t="str">
        <f>Kustannustehokas_ja_organisoitu!I12</f>
        <v>Ei kuulu</v>
      </c>
      <c r="B70" t="str">
        <f>Kustannustehokas_ja_organisoitu!P12</f>
        <v/>
      </c>
      <c r="C70" s="74" t="str">
        <f>Kustannustehokas_ja_organisoitu!A12</f>
        <v xml:space="preserve">1,2,3,4 </v>
      </c>
      <c r="D70" t="str">
        <f>Kustannustehokas_ja_organisoitu!C12</f>
        <v>A,B,C,D</v>
      </c>
      <c r="E70" t="str">
        <f>IF(ISBLANK(Kustannustehokas_ja_organisoitu!K12),"_Otsikkorivi",Kustannustehokas_ja_organisoitu!K12)</f>
        <v>Kustannustehokas ja organisoitu</v>
      </c>
      <c r="F70" t="str">
        <f>Kustannustehokas_ja_organisoitu!L12</f>
        <v>_Otsikkorivi</v>
      </c>
      <c r="G70" t="str">
        <f>IF(ISBLANK(Kustannustehokas_ja_organisoitu!R12),"Otsikkorivi",Kustannustehokas_ja_organisoitu!R12)</f>
        <v>6. Omaisuuden hallinta, operointi ja kunnossapito on suunnitelmallista</v>
      </c>
      <c r="H70" t="str">
        <f>IF(Kustannustehokas_ja_organisoitu!N12="x","Kyllä","Ei")</f>
        <v>Ei</v>
      </c>
      <c r="I70" t="str">
        <f>IF(ISBLANK(Kustannustehokas_ja_organisoitu!S12),"",Kustannustehokas_ja_organisoitu!S12)</f>
        <v/>
      </c>
      <c r="J70">
        <f>LV!$B$10</f>
        <v>0</v>
      </c>
      <c r="K70" t="str">
        <f>LV!$I$18</f>
        <v/>
      </c>
      <c r="L70" t="str">
        <f>IF(ISBLANK(Lähtötiedot!$O$18),"",Lähtötiedot!$O$18)</f>
        <v/>
      </c>
      <c r="M70" t="str">
        <f>IF(ISBLANK(Lähtötiedot!$O$16),"",Lähtötiedot!$O$16)</f>
        <v/>
      </c>
      <c r="N70" s="73" t="str">
        <f>IF(ISBLANK(Lähtötiedot!$O$15),"",Lähtötiedot!$O$15)</f>
        <v/>
      </c>
      <c r="O70" s="73"/>
    </row>
    <row r="71" spans="1:15" x14ac:dyDescent="0.35">
      <c r="A71" t="str">
        <f>Kustannustehokas_ja_organisoitu!I13</f>
        <v>Ei kuulu</v>
      </c>
      <c r="B71" t="str">
        <f>Kustannustehokas_ja_organisoitu!P13</f>
        <v/>
      </c>
      <c r="C71" s="74">
        <f>Kustannustehokas_ja_organisoitu!A13</f>
        <v>1.2</v>
      </c>
      <c r="D71" t="str">
        <f>Kustannustehokas_ja_organisoitu!C13</f>
        <v>A,B,C,D</v>
      </c>
      <c r="E71" t="str">
        <f>IF(ISBLANK(Kustannustehokas_ja_organisoitu!K13),"_Otsikkorivi",Kustannustehokas_ja_organisoitu!K13)</f>
        <v>Kustannustehokas ja organisoitu</v>
      </c>
      <c r="F71" t="str">
        <f>Kustannustehokas_ja_organisoitu!L13</f>
        <v>6. Omaisuuden hallinta, operointi ja kunnossapito on suunnitelmallista</v>
      </c>
      <c r="G71" t="str">
        <f>IF(ISBLANK(Kustannustehokas_ja_organisoitu!R13),"Otsikkorivi",Kustannustehokas_ja_organisoitu!R13)</f>
        <v>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v>
      </c>
      <c r="H71" t="str">
        <f>IF(Kustannustehokas_ja_organisoitu!N13="x","Kyllä","Ei")</f>
        <v>Ei</v>
      </c>
      <c r="I71" t="str">
        <f>IF(ISBLANK(Kustannustehokas_ja_organisoitu!S13),"",Kustannustehokas_ja_organisoitu!S13)</f>
        <v/>
      </c>
      <c r="J71">
        <f>LV!$B$10</f>
        <v>0</v>
      </c>
      <c r="K71" t="str">
        <f>LV!$I$18</f>
        <v/>
      </c>
      <c r="L71" t="str">
        <f>IF(ISBLANK(Lähtötiedot!$O$18),"",Lähtötiedot!$O$18)</f>
        <v/>
      </c>
      <c r="M71" t="str">
        <f>IF(ISBLANK(Lähtötiedot!$O$16),"",Lähtötiedot!$O$16)</f>
        <v/>
      </c>
      <c r="N71" s="73" t="str">
        <f>IF(ISBLANK(Lähtötiedot!$O$15),"",Lähtötiedot!$O$15)</f>
        <v/>
      </c>
      <c r="O71" s="73"/>
    </row>
    <row r="72" spans="1:15" x14ac:dyDescent="0.35">
      <c r="A72" t="str">
        <f>Kustannustehokas_ja_organisoitu!I14</f>
        <v>Ei kuulu</v>
      </c>
      <c r="B72" t="str">
        <f>Kustannustehokas_ja_organisoitu!P14</f>
        <v/>
      </c>
      <c r="C72" s="74">
        <f>Kustannustehokas_ja_organisoitu!A14</f>
        <v>3.4</v>
      </c>
      <c r="D72" t="str">
        <f>Kustannustehokas_ja_organisoitu!C14</f>
        <v>A,B,C,D</v>
      </c>
      <c r="E72" t="str">
        <f>IF(ISBLANK(Kustannustehokas_ja_organisoitu!K14),"_Otsikkorivi",Kustannustehokas_ja_organisoitu!K14)</f>
        <v>Kustannustehokas ja organisoitu</v>
      </c>
      <c r="F72" t="str">
        <f>Kustannustehokas_ja_organisoitu!L14</f>
        <v>6. Omaisuuden hallinta, operointi ja kunnossapito on suunnitelmallista</v>
      </c>
      <c r="G72" t="str">
        <f>IF(ISBLANK(Kustannustehokas_ja_organisoitu!R14),"Otsikkorivi",Kustannustehokas_ja_organisoitu!R14)</f>
        <v>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v>
      </c>
      <c r="H72" t="str">
        <f>IF(Kustannustehokas_ja_organisoitu!N14="x","Kyllä","Ei")</f>
        <v>Ei</v>
      </c>
      <c r="I72" t="str">
        <f>IF(ISBLANK(Kustannustehokas_ja_organisoitu!S14),"",Kustannustehokas_ja_organisoitu!S14)</f>
        <v/>
      </c>
      <c r="J72">
        <f>LV!$B$10</f>
        <v>0</v>
      </c>
      <c r="K72" t="str">
        <f>LV!$I$18</f>
        <v/>
      </c>
      <c r="L72" t="str">
        <f>IF(ISBLANK(Lähtötiedot!$O$18),"",Lähtötiedot!$O$18)</f>
        <v/>
      </c>
      <c r="M72" t="str">
        <f>IF(ISBLANK(Lähtötiedot!$O$16),"",Lähtötiedot!$O$16)</f>
        <v/>
      </c>
      <c r="N72" s="73" t="str">
        <f>IF(ISBLANK(Lähtötiedot!$O$15),"",Lähtötiedot!$O$15)</f>
        <v/>
      </c>
      <c r="O72" s="73"/>
    </row>
    <row r="73" spans="1:15" x14ac:dyDescent="0.35">
      <c r="A73" t="str">
        <f>Kustannustehokas_ja_organisoitu!I15</f>
        <v>Ei kuulu</v>
      </c>
      <c r="B73" t="str">
        <f>Kustannustehokas_ja_organisoitu!P15</f>
        <v/>
      </c>
      <c r="C73" s="74">
        <f>Kustannustehokas_ja_organisoitu!A15</f>
        <v>1.2</v>
      </c>
      <c r="D73" t="str">
        <f>Kustannustehokas_ja_organisoitu!C15</f>
        <v>A,B,C,D</v>
      </c>
      <c r="E73" t="str">
        <f>IF(ISBLANK(Kustannustehokas_ja_organisoitu!K15),"_Otsikkorivi",Kustannustehokas_ja_organisoitu!K15)</f>
        <v>Kustannustehokas ja organisoitu</v>
      </c>
      <c r="F73" t="str">
        <f>Kustannustehokas_ja_organisoitu!L15</f>
        <v>6. Omaisuuden hallinta, operointi ja kunnossapito on suunnitelmallista</v>
      </c>
      <c r="G73" t="str">
        <f>IF(ISBLANK(Kustannustehokas_ja_organisoitu!R15),"Otsikkorivi",Kustannustehokas_ja_organisoitu!R15)</f>
        <v>6.2 Vesihuoltolaitoksen laitosten ja verkostojen automaatiojärjestelmistä kerätään luotettavaa tietoa sähköiseen muotoon.</v>
      </c>
      <c r="H73" t="str">
        <f>IF(Kustannustehokas_ja_organisoitu!N15="x","Kyllä","Ei")</f>
        <v>Ei</v>
      </c>
      <c r="I73" t="str">
        <f>IF(ISBLANK(Kustannustehokas_ja_organisoitu!S15),"",Kustannustehokas_ja_organisoitu!S15)</f>
        <v/>
      </c>
      <c r="J73">
        <f>LV!$B$10</f>
        <v>0</v>
      </c>
      <c r="K73" t="str">
        <f>LV!$I$18</f>
        <v/>
      </c>
      <c r="L73" t="str">
        <f>IF(ISBLANK(Lähtötiedot!$O$18),"",Lähtötiedot!$O$18)</f>
        <v/>
      </c>
      <c r="M73" t="str">
        <f>IF(ISBLANK(Lähtötiedot!$O$16),"",Lähtötiedot!$O$16)</f>
        <v/>
      </c>
      <c r="N73" s="73" t="str">
        <f>IF(ISBLANK(Lähtötiedot!$O$15),"",Lähtötiedot!$O$15)</f>
        <v/>
      </c>
      <c r="O73" s="73"/>
    </row>
    <row r="74" spans="1:15" x14ac:dyDescent="0.35">
      <c r="A74" t="str">
        <f>Kustannustehokas_ja_organisoitu!I16</f>
        <v>Ei kuulu</v>
      </c>
      <c r="B74" t="str">
        <f>Kustannustehokas_ja_organisoitu!P16</f>
        <v/>
      </c>
      <c r="C74" s="74">
        <f>Kustannustehokas_ja_organisoitu!A16</f>
        <v>3.4</v>
      </c>
      <c r="D74" t="str">
        <f>Kustannustehokas_ja_organisoitu!C16</f>
        <v>A,B,C,D</v>
      </c>
      <c r="E74" t="str">
        <f>IF(ISBLANK(Kustannustehokas_ja_organisoitu!K16),"_Otsikkorivi",Kustannustehokas_ja_organisoitu!K16)</f>
        <v>Kustannustehokas ja organisoitu</v>
      </c>
      <c r="F74" t="str">
        <f>Kustannustehokas_ja_organisoitu!L16</f>
        <v>6. Omaisuuden hallinta, operointi ja kunnossapito on suunnitelmallista</v>
      </c>
      <c r="G74" t="str">
        <f>IF(ISBLANK(Kustannustehokas_ja_organisoitu!R16),"Otsikkorivi",Kustannustehokas_ja_organisoitu!R16)</f>
        <v>6.2 Vesihuoltolaitoksen laitoksen ja verkostojen automaatiojärjestelmistä saadaan ja kerätään jatkuvaa, ajantasaista ja luotettavaa tietoa sähköiseen muotoon.</v>
      </c>
      <c r="H74" t="str">
        <f>IF(Kustannustehokas_ja_organisoitu!N16="x","Kyllä","Ei")</f>
        <v>Ei</v>
      </c>
      <c r="I74" t="str">
        <f>IF(ISBLANK(Kustannustehokas_ja_organisoitu!S16),"",Kustannustehokas_ja_organisoitu!S16)</f>
        <v/>
      </c>
      <c r="J74">
        <f>LV!$B$10</f>
        <v>0</v>
      </c>
      <c r="K74" t="str">
        <f>LV!$I$18</f>
        <v/>
      </c>
      <c r="L74" t="str">
        <f>IF(ISBLANK(Lähtötiedot!$O$18),"",Lähtötiedot!$O$18)</f>
        <v/>
      </c>
      <c r="M74" t="str">
        <f>IF(ISBLANK(Lähtötiedot!$O$16),"",Lähtötiedot!$O$16)</f>
        <v/>
      </c>
      <c r="N74" s="73" t="str">
        <f>IF(ISBLANK(Lähtötiedot!$O$15),"",Lähtötiedot!$O$15)</f>
        <v/>
      </c>
      <c r="O74" s="73"/>
    </row>
    <row r="75" spans="1:15" x14ac:dyDescent="0.35">
      <c r="A75" t="str">
        <f>Kustannustehokas_ja_organisoitu!I17</f>
        <v>Ei kuulu</v>
      </c>
      <c r="B75" t="str">
        <f>Kustannustehokas_ja_organisoitu!P17</f>
        <v/>
      </c>
      <c r="C75" s="74" t="str">
        <f>Kustannustehokas_ja_organisoitu!A17</f>
        <v>1,2,3,4</v>
      </c>
      <c r="D75" t="str">
        <f>Kustannustehokas_ja_organisoitu!C17</f>
        <v>A,B,C,D</v>
      </c>
      <c r="E75" t="str">
        <f>IF(ISBLANK(Kustannustehokas_ja_organisoitu!K17),"_Otsikkorivi",Kustannustehokas_ja_organisoitu!K17)</f>
        <v>Kustannustehokas ja organisoitu</v>
      </c>
      <c r="F75" t="str">
        <f>Kustannustehokas_ja_organisoitu!L17</f>
        <v>6. Omaisuuden hallinta, operointi ja kunnossapito on suunnitelmallista</v>
      </c>
      <c r="G75" t="str">
        <f>IF(ISBLANK(Kustannustehokas_ja_organisoitu!R17),"Otsikkorivi",Kustannustehokas_ja_organisoitu!R17)</f>
        <v>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v>
      </c>
      <c r="H75" t="str">
        <f>IF(Kustannustehokas_ja_organisoitu!N17="x","Kyllä","Ei")</f>
        <v>Kyllä</v>
      </c>
      <c r="I75" t="str">
        <f>IF(ISBLANK(Kustannustehokas_ja_organisoitu!S17),"",Kustannustehokas_ja_organisoitu!S17)</f>
        <v/>
      </c>
      <c r="J75">
        <f>LV!$B$10</f>
        <v>0</v>
      </c>
      <c r="K75" t="str">
        <f>LV!$I$18</f>
        <v/>
      </c>
      <c r="L75" t="str">
        <f>IF(ISBLANK(Lähtötiedot!$O$18),"",Lähtötiedot!$O$18)</f>
        <v/>
      </c>
      <c r="M75" t="str">
        <f>IF(ISBLANK(Lähtötiedot!$O$16),"",Lähtötiedot!$O$16)</f>
        <v/>
      </c>
      <c r="N75" s="73" t="str">
        <f>IF(ISBLANK(Lähtötiedot!$O$15),"",Lähtötiedot!$O$15)</f>
        <v/>
      </c>
      <c r="O75" s="73"/>
    </row>
    <row r="76" spans="1:15" x14ac:dyDescent="0.35">
      <c r="A76" t="str">
        <f>Kustannustehokas_ja_organisoitu!I18</f>
        <v>Ei kuulu</v>
      </c>
      <c r="B76" t="str">
        <f>Kustannustehokas_ja_organisoitu!P18</f>
        <v/>
      </c>
      <c r="C76" s="74" t="str">
        <f>Kustannustehokas_ja_organisoitu!A18</f>
        <v>2,3,4</v>
      </c>
      <c r="D76" t="str">
        <f>Kustannustehokas_ja_organisoitu!C18</f>
        <v>A,B,C,D</v>
      </c>
      <c r="E76" t="str">
        <f>IF(ISBLANK(Kustannustehokas_ja_organisoitu!K18),"_Otsikkorivi",Kustannustehokas_ja_organisoitu!K18)</f>
        <v>Kustannustehokas ja organisoitu</v>
      </c>
      <c r="F76" t="str">
        <f>Kustannustehokas_ja_organisoitu!L18</f>
        <v>6. Omaisuuden hallinta, operointi ja kunnossapito on suunnitelmallista</v>
      </c>
      <c r="G76" t="str">
        <f>IF(ISBLANK(Kustannustehokas_ja_organisoitu!R18),"Otsikkorivi",Kustannustehokas_ja_organisoitu!R18)</f>
        <v>6.4 Vesihuoltolaitos on määrittänyt toiminnalleen KPI-mittarit (key performance indicator), joita seurataan.</v>
      </c>
      <c r="H76" t="str">
        <f>IF(Kustannustehokas_ja_organisoitu!N18="x","Kyllä","Ei")</f>
        <v>Ei</v>
      </c>
      <c r="I76" t="str">
        <f>IF(ISBLANK(Kustannustehokas_ja_organisoitu!S18),"",Kustannustehokas_ja_organisoitu!S18)</f>
        <v/>
      </c>
      <c r="J76">
        <f>LV!$B$10</f>
        <v>0</v>
      </c>
      <c r="K76" t="str">
        <f>LV!$I$18</f>
        <v/>
      </c>
      <c r="L76" t="str">
        <f>IF(ISBLANK(Lähtötiedot!$O$18),"",Lähtötiedot!$O$18)</f>
        <v/>
      </c>
      <c r="M76" t="str">
        <f>IF(ISBLANK(Lähtötiedot!$O$16),"",Lähtötiedot!$O$16)</f>
        <v/>
      </c>
      <c r="N76" s="73" t="str">
        <f>IF(ISBLANK(Lähtötiedot!$O$15),"",Lähtötiedot!$O$15)</f>
        <v/>
      </c>
      <c r="O76" s="73"/>
    </row>
    <row r="77" spans="1:15" x14ac:dyDescent="0.35">
      <c r="A77" t="str">
        <f>Kustannustehokas_ja_organisoitu!I19</f>
        <v>Ei kuulu</v>
      </c>
      <c r="B77" t="str">
        <f>Kustannustehokas_ja_organisoitu!P19</f>
        <v/>
      </c>
      <c r="C77" s="74" t="str">
        <f>Kustannustehokas_ja_organisoitu!A19</f>
        <v>2,3,4</v>
      </c>
      <c r="D77" t="str">
        <f>Kustannustehokas_ja_organisoitu!C19</f>
        <v>A,B,C,D</v>
      </c>
      <c r="E77" t="str">
        <f>IF(ISBLANK(Kustannustehokas_ja_organisoitu!K19),"_Otsikkorivi",Kustannustehokas_ja_organisoitu!K19)</f>
        <v>Kustannustehokas ja organisoitu</v>
      </c>
      <c r="F77" t="str">
        <f>Kustannustehokas_ja_organisoitu!L19</f>
        <v>6. Omaisuuden hallinta, operointi ja kunnossapito on suunnitelmallista</v>
      </c>
      <c r="G77" t="str">
        <f>IF(ISBLANK(Kustannustehokas_ja_organisoitu!R19),"Otsikkorivi",Kustannustehokas_ja_organisoitu!R19)</f>
        <v>6.5 Vesihuoltolaitoksen laitoksista ja verkostoista kerätään järjestelmällisesti tietoa suunnittelun, rakentamisen, saneerauksen ja kunnossapidon osalta.</v>
      </c>
      <c r="H77" t="str">
        <f>IF(Kustannustehokas_ja_organisoitu!N19="x","Kyllä","Ei")</f>
        <v>Ei</v>
      </c>
      <c r="I77" t="str">
        <f>IF(ISBLANK(Kustannustehokas_ja_organisoitu!S19),"",Kustannustehokas_ja_organisoitu!S19)</f>
        <v/>
      </c>
      <c r="J77">
        <f>LV!$B$10</f>
        <v>0</v>
      </c>
      <c r="K77" t="str">
        <f>LV!$I$18</f>
        <v/>
      </c>
      <c r="L77" t="str">
        <f>IF(ISBLANK(Lähtötiedot!$O$18),"",Lähtötiedot!$O$18)</f>
        <v/>
      </c>
      <c r="M77" t="str">
        <f>IF(ISBLANK(Lähtötiedot!$O$16),"",Lähtötiedot!$O$16)</f>
        <v/>
      </c>
      <c r="N77" s="73" t="str">
        <f>IF(ISBLANK(Lähtötiedot!$O$15),"",Lähtötiedot!$O$15)</f>
        <v/>
      </c>
      <c r="O77" s="73"/>
    </row>
    <row r="78" spans="1:15" x14ac:dyDescent="0.35">
      <c r="A78" t="str">
        <f>Kustannustehokas_ja_organisoitu!I20</f>
        <v>Ei kuulu</v>
      </c>
      <c r="B78" t="str">
        <f>Kustannustehokas_ja_organisoitu!P20</f>
        <v/>
      </c>
      <c r="C78" s="74">
        <f>Kustannustehokas_ja_organisoitu!A20</f>
        <v>3.4</v>
      </c>
      <c r="D78" t="str">
        <f>Kustannustehokas_ja_organisoitu!C20</f>
        <v>A,B,C,D</v>
      </c>
      <c r="E78" t="str">
        <f>IF(ISBLANK(Kustannustehokas_ja_organisoitu!K20),"_Otsikkorivi",Kustannustehokas_ja_organisoitu!K20)</f>
        <v>Kustannustehokas ja organisoitu</v>
      </c>
      <c r="F78" t="str">
        <f>Kustannustehokas_ja_organisoitu!L20</f>
        <v>6. Omaisuuden hallinta, operointi ja kunnossapito on suunnitelmallista</v>
      </c>
      <c r="G78" t="str">
        <f>IF(ISBLANK(Kustannustehokas_ja_organisoitu!R20),"Otsikkorivi",Kustannustehokas_ja_organisoitu!R20)</f>
        <v>6.6 Vesihuoltolaitos käyttää sähköistä kunnossapitojärjestelmää.</v>
      </c>
      <c r="H78" t="str">
        <f>IF(Kustannustehokas_ja_organisoitu!N20="x","Kyllä","Ei")</f>
        <v>Ei</v>
      </c>
      <c r="I78" t="str">
        <f>IF(ISBLANK(Kustannustehokas_ja_organisoitu!S20),"",Kustannustehokas_ja_organisoitu!S20)</f>
        <v/>
      </c>
      <c r="J78">
        <f>LV!$B$10</f>
        <v>0</v>
      </c>
      <c r="K78" t="str">
        <f>LV!$I$18</f>
        <v/>
      </c>
      <c r="L78" t="str">
        <f>IF(ISBLANK(Lähtötiedot!$O$18),"",Lähtötiedot!$O$18)</f>
        <v/>
      </c>
      <c r="M78" t="str">
        <f>IF(ISBLANK(Lähtötiedot!$O$16),"",Lähtötiedot!$O$16)</f>
        <v/>
      </c>
      <c r="N78" s="73" t="str">
        <f>IF(ISBLANK(Lähtötiedot!$O$15),"",Lähtötiedot!$O$15)</f>
        <v/>
      </c>
      <c r="O78" s="73"/>
    </row>
    <row r="79" spans="1:15" x14ac:dyDescent="0.35">
      <c r="A79" t="str">
        <f>Kustannustehokas_ja_organisoitu!I21</f>
        <v>Ei kuulu</v>
      </c>
      <c r="B79" t="str">
        <f>Kustannustehokas_ja_organisoitu!P21</f>
        <v/>
      </c>
      <c r="C79" s="74">
        <f>Kustannustehokas_ja_organisoitu!A21</f>
        <v>3.4</v>
      </c>
      <c r="D79" t="str">
        <f>Kustannustehokas_ja_organisoitu!C21</f>
        <v>B</v>
      </c>
      <c r="E79" t="str">
        <f>IF(ISBLANK(Kustannustehokas_ja_organisoitu!K21),"_Otsikkorivi",Kustannustehokas_ja_organisoitu!K21)</f>
        <v>Kustannustehokas ja organisoitu</v>
      </c>
      <c r="F79" t="str">
        <f>Kustannustehokas_ja_organisoitu!L21</f>
        <v>6. Omaisuuden hallinta, operointi ja kunnossapito on suunnitelmallista</v>
      </c>
      <c r="G79" t="str">
        <f>IF(ISBLANK(Kustannustehokas_ja_organisoitu!R21),"Otsikkorivi",Kustannustehokas_ja_organisoitu!R21)</f>
        <v xml:space="preserve">6.7 Vesihuoltolaitoksen vedenjakeluverkoston vuotoja mitataan ja seurataan ja vuotavuusprosentti on määritelty verkostoalueittain. </v>
      </c>
      <c r="H79" t="str">
        <f>IF(Kustannustehokas_ja_organisoitu!N21="x","Kyllä","Ei")</f>
        <v>Ei</v>
      </c>
      <c r="I79" t="str">
        <f>IF(ISBLANK(Kustannustehokas_ja_organisoitu!S21),"",Kustannustehokas_ja_organisoitu!S21)</f>
        <v/>
      </c>
      <c r="J79">
        <f>LV!$B$10</f>
        <v>0</v>
      </c>
      <c r="K79" t="str">
        <f>LV!$I$18</f>
        <v/>
      </c>
      <c r="L79" t="str">
        <f>IF(ISBLANK(Lähtötiedot!$O$18),"",Lähtötiedot!$O$18)</f>
        <v/>
      </c>
      <c r="M79" t="str">
        <f>IF(ISBLANK(Lähtötiedot!$O$16),"",Lähtötiedot!$O$16)</f>
        <v/>
      </c>
      <c r="N79" s="73" t="str">
        <f>IF(ISBLANK(Lähtötiedot!$O$15),"",Lähtötiedot!$O$15)</f>
        <v/>
      </c>
      <c r="O79" s="73"/>
    </row>
    <row r="80" spans="1:15" x14ac:dyDescent="0.35">
      <c r="A80" t="str">
        <f>Kustannustehokas_ja_organisoitu!I22</f>
        <v>Ei kuulu</v>
      </c>
      <c r="B80" t="str">
        <f>Kustannustehokas_ja_organisoitu!P22</f>
        <v/>
      </c>
      <c r="C80" s="74">
        <f>Kustannustehokas_ja_organisoitu!A22</f>
        <v>4</v>
      </c>
      <c r="D80" t="str">
        <f>Kustannustehokas_ja_organisoitu!C22</f>
        <v>A,B,C,D</v>
      </c>
      <c r="E80" t="str">
        <f>IF(ISBLANK(Kustannustehokas_ja_organisoitu!K22),"_Otsikkorivi",Kustannustehokas_ja_organisoitu!K22)</f>
        <v>Kustannustehokas ja organisoitu</v>
      </c>
      <c r="F80" t="str">
        <f>Kustannustehokas_ja_organisoitu!L22</f>
        <v>6. Omaisuuden hallinta, operointi ja kunnossapito on suunnitelmallista</v>
      </c>
      <c r="G80" t="str">
        <f>IF(ISBLANK(Kustannustehokas_ja_organisoitu!R22),"Otsikkorivi",Kustannustehokas_ja_organisoitu!R22)</f>
        <v>6.8 Vesihuoltolaitoksella on pitkän aikavälin omaisuudenhallintasuunnitelma (20 v).</v>
      </c>
      <c r="H80" t="str">
        <f>IF(Kustannustehokas_ja_organisoitu!N22="x","Kyllä","Ei")</f>
        <v>Ei</v>
      </c>
      <c r="I80" t="str">
        <f>IF(ISBLANK(Kustannustehokas_ja_organisoitu!S22),"",Kustannustehokas_ja_organisoitu!S22)</f>
        <v/>
      </c>
      <c r="J80">
        <f>LV!$B$10</f>
        <v>0</v>
      </c>
      <c r="K80" t="str">
        <f>LV!$I$18</f>
        <v/>
      </c>
      <c r="L80" t="str">
        <f>IF(ISBLANK(Lähtötiedot!$O$18),"",Lähtötiedot!$O$18)</f>
        <v/>
      </c>
      <c r="M80" t="str">
        <f>IF(ISBLANK(Lähtötiedot!$O$16),"",Lähtötiedot!$O$16)</f>
        <v/>
      </c>
      <c r="N80" s="73" t="str">
        <f>IF(ISBLANK(Lähtötiedot!$O$15),"",Lähtötiedot!$O$15)</f>
        <v/>
      </c>
      <c r="O80" s="73"/>
    </row>
    <row r="81" spans="1:15" x14ac:dyDescent="0.35">
      <c r="A81" t="str">
        <f>Kustannustehokas_ja_organisoitu!I23</f>
        <v>Ei kuulu</v>
      </c>
      <c r="B81" t="str">
        <f>Kustannustehokas_ja_organisoitu!P23</f>
        <v/>
      </c>
      <c r="C81" s="74">
        <f>Kustannustehokas_ja_organisoitu!A23</f>
        <v>5</v>
      </c>
      <c r="D81" t="str">
        <f>Kustannustehokas_ja_organisoitu!C23</f>
        <v>A,B,C,D</v>
      </c>
      <c r="E81" t="str">
        <f>IF(ISBLANK(Kustannustehokas_ja_organisoitu!K23),"_Otsikkorivi",Kustannustehokas_ja_organisoitu!K23)</f>
        <v>Kustannustehokas ja organisoitu</v>
      </c>
      <c r="F81" t="str">
        <f>Kustannustehokas_ja_organisoitu!L23</f>
        <v>6. Omaisuuden hallinta, operointi ja kunnossapito on suunnitelmallista</v>
      </c>
      <c r="G81" t="str">
        <f>IF(ISBLANK(Kustannustehokas_ja_organisoitu!R23),"Otsikkorivi",Kustannustehokas_ja_organisoitu!R23)</f>
        <v>6.9 Vesihuoltolaitoksella on käytössä auditoitu omaisuudenhallinnan johtamisjärjestelmä (esim. ISO 55000).</v>
      </c>
      <c r="H81" t="str">
        <f>IF(Kustannustehokas_ja_organisoitu!N23="x","Kyllä","Ei")</f>
        <v>Ei</v>
      </c>
      <c r="I81" t="str">
        <f>IF(ISBLANK(Kustannustehokas_ja_organisoitu!S23),"",Kustannustehokas_ja_organisoitu!S23)</f>
        <v/>
      </c>
      <c r="J81">
        <f>LV!$B$10</f>
        <v>0</v>
      </c>
      <c r="K81" t="str">
        <f>LV!$I$18</f>
        <v/>
      </c>
      <c r="L81" t="str">
        <f>IF(ISBLANK(Lähtötiedot!$O$18),"",Lähtötiedot!$O$18)</f>
        <v/>
      </c>
      <c r="M81" t="str">
        <f>IF(ISBLANK(Lähtötiedot!$O$16),"",Lähtötiedot!$O$16)</f>
        <v/>
      </c>
      <c r="N81" s="73" t="str">
        <f>IF(ISBLANK(Lähtötiedot!$O$15),"",Lähtötiedot!$O$15)</f>
        <v/>
      </c>
      <c r="O81" s="73"/>
    </row>
    <row r="82" spans="1:15" x14ac:dyDescent="0.35">
      <c r="A82" t="str">
        <f>Kustannustehokas_ja_organisoitu!I24</f>
        <v>Ei kuulu</v>
      </c>
      <c r="B82" t="str">
        <f>Kustannustehokas_ja_organisoitu!P24</f>
        <v/>
      </c>
      <c r="C82" s="74">
        <f>Kustannustehokas_ja_organisoitu!A24</f>
        <v>5</v>
      </c>
      <c r="D82" t="str">
        <f>Kustannustehokas_ja_organisoitu!C24</f>
        <v>A,B,C,D</v>
      </c>
      <c r="E82" t="str">
        <f>IF(ISBLANK(Kustannustehokas_ja_organisoitu!K24),"_Otsikkorivi",Kustannustehokas_ja_organisoitu!K24)</f>
        <v>Kustannustehokas ja organisoitu</v>
      </c>
      <c r="F82" t="str">
        <f>Kustannustehokas_ja_organisoitu!L24</f>
        <v>6. Omaisuuden hallinta, operointi ja kunnossapito on suunnitelmallista</v>
      </c>
      <c r="G82" t="str">
        <f>IF(ISBLANK(Kustannustehokas_ja_organisoitu!R24),"Otsikkorivi",Kustannustehokas_ja_organisoitu!R24)</f>
        <v>6.10 Vesihuoltolaitoksen laitosten ja verkoston automaatiojärjestelmistä saadaan jatkuvaa, ajantasaista ja virheetöntä tietoa räätälöidysti raportoituna organisaation eri tasoille. Tietoa hyödynnetään päätöksenteossa.</v>
      </c>
      <c r="H82" t="str">
        <f>IF(Kustannustehokas_ja_organisoitu!N24="x","Kyllä","Ei")</f>
        <v>Ei</v>
      </c>
      <c r="I82" t="str">
        <f>IF(ISBLANK(Kustannustehokas_ja_organisoitu!S24),"",Kustannustehokas_ja_organisoitu!S24)</f>
        <v/>
      </c>
      <c r="J82">
        <f>LV!$B$10</f>
        <v>0</v>
      </c>
      <c r="K82" t="str">
        <f>LV!$I$18</f>
        <v/>
      </c>
      <c r="L82" t="str">
        <f>IF(ISBLANK(Lähtötiedot!$O$18),"",Lähtötiedot!$O$18)</f>
        <v/>
      </c>
      <c r="M82" t="str">
        <f>IF(ISBLANK(Lähtötiedot!$O$16),"",Lähtötiedot!$O$16)</f>
        <v/>
      </c>
      <c r="N82" s="73" t="str">
        <f>IF(ISBLANK(Lähtötiedot!$O$15),"",Lähtötiedot!$O$15)</f>
        <v/>
      </c>
      <c r="O82" s="73"/>
    </row>
    <row r="83" spans="1:15" hidden="1" x14ac:dyDescent="0.35">
      <c r="A83" t="str">
        <f>Kustannustehokas_ja_organisoitu!I25</f>
        <v>Ei kuulu</v>
      </c>
      <c r="B83" t="str">
        <f>Kustannustehokas_ja_organisoitu!P25</f>
        <v/>
      </c>
      <c r="C83" s="74" t="str">
        <f>Kustannustehokas_ja_organisoitu!A25</f>
        <v xml:space="preserve">1,2,3,4 </v>
      </c>
      <c r="D83" t="str">
        <f>Kustannustehokas_ja_organisoitu!C25</f>
        <v>A,B,C,D</v>
      </c>
      <c r="E83" t="str">
        <f>IF(ISBLANK(Kustannustehokas_ja_organisoitu!K25),"_Otsikkorivi",Kustannustehokas_ja_organisoitu!K25)</f>
        <v>Kustannustehokas ja organisoitu</v>
      </c>
      <c r="F83" t="str">
        <f>Kustannustehokas_ja_organisoitu!L25</f>
        <v>_Otsikkorivi</v>
      </c>
      <c r="G83" t="str">
        <f>IF(ISBLANK(Kustannustehokas_ja_organisoitu!R25),"Otsikkorivi",Kustannustehokas_ja_organisoitu!R25)</f>
        <v>7. Johtaminen on suunniteltua ja toiminta on kannattavaa</v>
      </c>
      <c r="H83" t="str">
        <f>IF(Kustannustehokas_ja_organisoitu!N25="x","Kyllä","Ei")</f>
        <v>Ei</v>
      </c>
      <c r="I83" t="str">
        <f>IF(ISBLANK(Kustannustehokas_ja_organisoitu!S25),"",Kustannustehokas_ja_organisoitu!S25)</f>
        <v/>
      </c>
      <c r="J83">
        <f>LV!$B$10</f>
        <v>0</v>
      </c>
      <c r="K83" t="str">
        <f>LV!$I$18</f>
        <v/>
      </c>
      <c r="L83" t="str">
        <f>IF(ISBLANK(Lähtötiedot!$O$18),"",Lähtötiedot!$O$18)</f>
        <v/>
      </c>
      <c r="M83" t="str">
        <f>IF(ISBLANK(Lähtötiedot!$O$16),"",Lähtötiedot!$O$16)</f>
        <v/>
      </c>
      <c r="N83" s="73" t="str">
        <f>IF(ISBLANK(Lähtötiedot!$O$15),"",Lähtötiedot!$O$15)</f>
        <v/>
      </c>
      <c r="O83" s="73"/>
    </row>
    <row r="84" spans="1:15" x14ac:dyDescent="0.35">
      <c r="A84" t="str">
        <f>Kustannustehokas_ja_organisoitu!I26</f>
        <v>Ei kuulu</v>
      </c>
      <c r="B84" t="str">
        <f>Kustannustehokas_ja_organisoitu!P26</f>
        <v/>
      </c>
      <c r="C84" s="74" t="str">
        <f>Kustannustehokas_ja_organisoitu!A26</f>
        <v>1,2,3,4</v>
      </c>
      <c r="D84" t="str">
        <f>Kustannustehokas_ja_organisoitu!C26</f>
        <v>A,B,C,D</v>
      </c>
      <c r="E84" t="str">
        <f>IF(ISBLANK(Kustannustehokas_ja_organisoitu!K26),"_Otsikkorivi",Kustannustehokas_ja_organisoitu!K26)</f>
        <v>Kustannustehokas ja organisoitu</v>
      </c>
      <c r="F84" t="str">
        <f>Kustannustehokas_ja_organisoitu!L26</f>
        <v>7. Johtaminen on suunniteltua ja toiminta on kannattavaa</v>
      </c>
      <c r="G84" t="str">
        <f>IF(ISBLANK(Kustannustehokas_ja_organisoitu!R26),"Otsikkorivi",Kustannustehokas_ja_organisoitu!R26)</f>
        <v>7.1 Vesihuoltolaitoksella on selkeä kulut ja tuotot erittelevä taloushallintajärjestelmä tai vastaava pienille laitoksille soveltuva järjestelmä luokan 1 laitoksille.</v>
      </c>
      <c r="H84" t="str">
        <f>IF(Kustannustehokas_ja_organisoitu!N26="x","Kyllä","Ei")</f>
        <v>Ei</v>
      </c>
      <c r="I84" t="str">
        <f>IF(ISBLANK(Kustannustehokas_ja_organisoitu!S26),"",Kustannustehokas_ja_organisoitu!S26)</f>
        <v/>
      </c>
      <c r="J84">
        <f>LV!$B$10</f>
        <v>0</v>
      </c>
      <c r="K84" t="str">
        <f>LV!$I$18</f>
        <v/>
      </c>
      <c r="L84" t="str">
        <f>IF(ISBLANK(Lähtötiedot!$O$18),"",Lähtötiedot!$O$18)</f>
        <v/>
      </c>
      <c r="M84" t="str">
        <f>IF(ISBLANK(Lähtötiedot!$O$16),"",Lähtötiedot!$O$16)</f>
        <v/>
      </c>
      <c r="N84" s="73" t="str">
        <f>IF(ISBLANK(Lähtötiedot!$O$15),"",Lähtötiedot!$O$15)</f>
        <v/>
      </c>
      <c r="O84" s="73"/>
    </row>
    <row r="85" spans="1:15" x14ac:dyDescent="0.35">
      <c r="A85" t="str">
        <f>Kustannustehokas_ja_organisoitu!I27</f>
        <v>Ei kuulu</v>
      </c>
      <c r="B85" t="str">
        <f>Kustannustehokas_ja_organisoitu!P27</f>
        <v/>
      </c>
      <c r="C85" s="74" t="str">
        <f>Kustannustehokas_ja_organisoitu!A27</f>
        <v>1,2,3,4</v>
      </c>
      <c r="D85" t="str">
        <f>Kustannustehokas_ja_organisoitu!C27</f>
        <v>A,B,C,D</v>
      </c>
      <c r="E85" t="str">
        <f>IF(ISBLANK(Kustannustehokas_ja_organisoitu!K27),"_Otsikkorivi",Kustannustehokas_ja_organisoitu!K27)</f>
        <v>Kustannustehokas ja organisoitu</v>
      </c>
      <c r="F85" t="str">
        <f>Kustannustehokas_ja_organisoitu!L27</f>
        <v>7. Johtaminen on suunniteltua ja toiminta on kannattavaa</v>
      </c>
      <c r="G85" t="str">
        <f>IF(ISBLANK(Kustannustehokas_ja_organisoitu!R27),"Otsikkorivi",Kustannustehokas_ja_organisoitu!R27)</f>
        <v>7.2 Vesihuoltolaitoksella on ajantasainen pitkän aikavälin (min. 20 v) investointiohjelma, jossa on otettu huomioon vesihuollon ja kunnan tarpeet, huomioitu vesihuollon kehittämissuunnitelma sekä toimintavarmuus.</v>
      </c>
      <c r="H85" t="str">
        <f>IF(Kustannustehokas_ja_organisoitu!N27="x","Kyllä","Ei")</f>
        <v>Kyllä</v>
      </c>
      <c r="I85" t="str">
        <f>IF(ISBLANK(Kustannustehokas_ja_organisoitu!S27),"",Kustannustehokas_ja_organisoitu!S27)</f>
        <v/>
      </c>
      <c r="J85">
        <f>LV!$B$10</f>
        <v>0</v>
      </c>
      <c r="K85" t="str">
        <f>LV!$I$18</f>
        <v/>
      </c>
      <c r="L85" t="str">
        <f>IF(ISBLANK(Lähtötiedot!$O$18),"",Lähtötiedot!$O$18)</f>
        <v/>
      </c>
      <c r="M85" t="str">
        <f>IF(ISBLANK(Lähtötiedot!$O$16),"",Lähtötiedot!$O$16)</f>
        <v/>
      </c>
      <c r="N85" s="73" t="str">
        <f>IF(ISBLANK(Lähtötiedot!$O$15),"",Lähtötiedot!$O$15)</f>
        <v/>
      </c>
      <c r="O85" s="73"/>
    </row>
    <row r="86" spans="1:15" x14ac:dyDescent="0.35">
      <c r="A86" t="str">
        <f>Kustannustehokas_ja_organisoitu!I28</f>
        <v>Ei kuulu</v>
      </c>
      <c r="B86" t="str">
        <f>Kustannustehokas_ja_organisoitu!P28</f>
        <v/>
      </c>
      <c r="C86" s="74" t="str">
        <f>Kustannustehokas_ja_organisoitu!A28</f>
        <v>1,2,3,4</v>
      </c>
      <c r="D86" t="str">
        <f>Kustannustehokas_ja_organisoitu!C28</f>
        <v>A,B,C,D</v>
      </c>
      <c r="E86" t="str">
        <f>IF(ISBLANK(Kustannustehokas_ja_organisoitu!K28),"_Otsikkorivi",Kustannustehokas_ja_organisoitu!K28)</f>
        <v>Kustannustehokas ja organisoitu</v>
      </c>
      <c r="F86" t="str">
        <f>Kustannustehokas_ja_organisoitu!L28</f>
        <v>7. Johtaminen on suunniteltua ja toiminta on kannattavaa</v>
      </c>
      <c r="G86" t="str">
        <f>IF(ISBLANK(Kustannustehokas_ja_organisoitu!R28),"Otsikkorivi",Kustannustehokas_ja_organisoitu!R28)</f>
        <v>7.3 Vesihuoltolaitoksen perimät maksut ovat sellaiset, että pitkällä aikavälillä (20 v.) voidaan kattaa vesihuoltolaitoksen suunnitellut uus- ja korjausinvestoinnit ja käyttökustannukset.</v>
      </c>
      <c r="H86" t="str">
        <f>IF(Kustannustehokas_ja_organisoitu!N28="x","Kyllä","Ei")</f>
        <v>Kyllä</v>
      </c>
      <c r="I86" t="str">
        <f>IF(ISBLANK(Kustannustehokas_ja_organisoitu!S28),"",Kustannustehokas_ja_organisoitu!S28)</f>
        <v/>
      </c>
      <c r="J86">
        <f>LV!$B$10</f>
        <v>0</v>
      </c>
      <c r="K86" t="str">
        <f>LV!$I$18</f>
        <v/>
      </c>
      <c r="L86" t="str">
        <f>IF(ISBLANK(Lähtötiedot!$O$18),"",Lähtötiedot!$O$18)</f>
        <v/>
      </c>
      <c r="M86" t="str">
        <f>IF(ISBLANK(Lähtötiedot!$O$16),"",Lähtötiedot!$O$16)</f>
        <v/>
      </c>
      <c r="N86" s="73" t="str">
        <f>IF(ISBLANK(Lähtötiedot!$O$15),"",Lähtötiedot!$O$15)</f>
        <v/>
      </c>
      <c r="O86" s="73"/>
    </row>
    <row r="87" spans="1:15" x14ac:dyDescent="0.35">
      <c r="A87" t="str">
        <f>Kustannustehokas_ja_organisoitu!I29</f>
        <v>Ei kuulu</v>
      </c>
      <c r="B87" t="str">
        <f>Kustannustehokas_ja_organisoitu!P29</f>
        <v/>
      </c>
      <c r="C87" s="74" t="str">
        <f>Kustannustehokas_ja_organisoitu!A29</f>
        <v>1,2,3,4</v>
      </c>
      <c r="D87" t="str">
        <f>Kustannustehokas_ja_organisoitu!C29</f>
        <v>A,B,C,D</v>
      </c>
      <c r="E87" t="str">
        <f>IF(ISBLANK(Kustannustehokas_ja_organisoitu!K29),"_Otsikkorivi",Kustannustehokas_ja_organisoitu!K29)</f>
        <v>Kustannustehokas ja organisoitu</v>
      </c>
      <c r="F87" t="str">
        <f>Kustannustehokas_ja_organisoitu!L29</f>
        <v>7. Johtaminen on suunniteltua ja toiminta on kannattavaa</v>
      </c>
      <c r="G87" t="str">
        <f>IF(ISBLANK(Kustannustehokas_ja_organisoitu!R29),"Otsikkorivi",Kustannustehokas_ja_organisoitu!R29)</f>
        <v>7.4 Vesihuoltolaitoksella on laadunhallintajärjestelmä tai toiminta on muuten järjestelmällistä ja kirjallisesti/sähköisesti dokumentoitua.</v>
      </c>
      <c r="H87" t="str">
        <f>IF(Kustannustehokas_ja_organisoitu!N29="x","Kyllä","Ei")</f>
        <v>Ei</v>
      </c>
      <c r="I87" t="str">
        <f>IF(ISBLANK(Kustannustehokas_ja_organisoitu!S29),"",Kustannustehokas_ja_organisoitu!S29)</f>
        <v/>
      </c>
      <c r="J87">
        <f>LV!$B$10</f>
        <v>0</v>
      </c>
      <c r="K87" t="str">
        <f>LV!$I$18</f>
        <v/>
      </c>
      <c r="L87" t="str">
        <f>IF(ISBLANK(Lähtötiedot!$O$18),"",Lähtötiedot!$O$18)</f>
        <v/>
      </c>
      <c r="M87" t="str">
        <f>IF(ISBLANK(Lähtötiedot!$O$16),"",Lähtötiedot!$O$16)</f>
        <v/>
      </c>
      <c r="N87" s="73" t="str">
        <f>IF(ISBLANK(Lähtötiedot!$O$15),"",Lähtötiedot!$O$15)</f>
        <v/>
      </c>
      <c r="O87" s="73"/>
    </row>
    <row r="88" spans="1:15" x14ac:dyDescent="0.35">
      <c r="A88" t="str">
        <f>Kustannustehokas_ja_organisoitu!I30</f>
        <v>Ei kuulu</v>
      </c>
      <c r="B88" t="str">
        <f>Kustannustehokas_ja_organisoitu!P30</f>
        <v/>
      </c>
      <c r="C88" s="74" t="str">
        <f>Kustannustehokas_ja_organisoitu!A30</f>
        <v>1,2,3,4</v>
      </c>
      <c r="D88" t="str">
        <f>Kustannustehokas_ja_organisoitu!C30</f>
        <v>A,B,C,D</v>
      </c>
      <c r="E88" t="str">
        <f>IF(ISBLANK(Kustannustehokas_ja_organisoitu!K30),"_Otsikkorivi",Kustannustehokas_ja_organisoitu!K30)</f>
        <v>Kustannustehokas ja organisoitu</v>
      </c>
      <c r="F88" t="str">
        <f>Kustannustehokas_ja_organisoitu!L30</f>
        <v>7. Johtaminen on suunniteltua ja toiminta on kannattavaa</v>
      </c>
      <c r="G88" t="str">
        <f>IF(ISBLANK(Kustannustehokas_ja_organisoitu!R30),"Otsikkorivi",Kustannustehokas_ja_organisoitu!R30)</f>
        <v>7.5 Vesihuoltolaitoksen tietojen hallinta on suunniteltua ja järjestelmällistä (esim. tiedonhallintasuunnitelma ja järjestelmä) eli varmistetaan tietojen turvallinen luokittelu, käsittely ja säilytys.</v>
      </c>
      <c r="H88" t="str">
        <f>IF(Kustannustehokas_ja_organisoitu!N30="x","Kyllä","Ei")</f>
        <v>Kyllä</v>
      </c>
      <c r="I88" t="str">
        <f>IF(ISBLANK(Kustannustehokas_ja_organisoitu!S30),"",Kustannustehokas_ja_organisoitu!S30)</f>
        <v/>
      </c>
      <c r="J88">
        <f>LV!$B$10</f>
        <v>0</v>
      </c>
      <c r="K88" t="str">
        <f>LV!$I$18</f>
        <v/>
      </c>
      <c r="L88" t="str">
        <f>IF(ISBLANK(Lähtötiedot!$O$18),"",Lähtötiedot!$O$18)</f>
        <v/>
      </c>
      <c r="M88" t="str">
        <f>IF(ISBLANK(Lähtötiedot!$O$16),"",Lähtötiedot!$O$16)</f>
        <v/>
      </c>
      <c r="N88" s="73" t="str">
        <f>IF(ISBLANK(Lähtötiedot!$O$15),"",Lähtötiedot!$O$15)</f>
        <v/>
      </c>
      <c r="O88" s="73"/>
    </row>
    <row r="89" spans="1:15" x14ac:dyDescent="0.35">
      <c r="A89" t="str">
        <f>Kustannustehokas_ja_organisoitu!I31</f>
        <v>Ei kuulu</v>
      </c>
      <c r="B89" t="str">
        <f>Kustannustehokas_ja_organisoitu!P31</f>
        <v/>
      </c>
      <c r="C89" s="74">
        <f>Kustannustehokas_ja_organisoitu!A31</f>
        <v>1</v>
      </c>
      <c r="D89" t="str">
        <f>Kustannustehokas_ja_organisoitu!C31</f>
        <v>A,B,C,D</v>
      </c>
      <c r="E89" t="str">
        <f>IF(ISBLANK(Kustannustehokas_ja_organisoitu!K31),"_Otsikkorivi",Kustannustehokas_ja_organisoitu!K31)</f>
        <v>Kustannustehokas ja organisoitu</v>
      </c>
      <c r="F89" t="str">
        <f>Kustannustehokas_ja_organisoitu!L31</f>
        <v>7. Johtaminen on suunniteltua ja toiminta on kannattavaa</v>
      </c>
      <c r="G89" t="str">
        <f>IF(ISBLANK(Kustannustehokas_ja_organisoitu!R31),"Otsikkorivi",Kustannustehokas_ja_organisoitu!R31)</f>
        <v>7.6 Vesihuoltolaitoksen toiminnasta kerätään järjestelmällisesti tietoa operatiivisen toiminnan (=päivittäisen toiminnan johtamisen) osalta.</v>
      </c>
      <c r="H89" t="str">
        <f>IF(Kustannustehokas_ja_organisoitu!N31="x","Kyllä","Ei")</f>
        <v>Ei</v>
      </c>
      <c r="I89" t="str">
        <f>IF(ISBLANK(Kustannustehokas_ja_organisoitu!S31),"",Kustannustehokas_ja_organisoitu!S31)</f>
        <v/>
      </c>
      <c r="J89">
        <f>LV!$B$10</f>
        <v>0</v>
      </c>
      <c r="K89" t="str">
        <f>LV!$I$18</f>
        <v/>
      </c>
      <c r="L89" t="str">
        <f>IF(ISBLANK(Lähtötiedot!$O$18),"",Lähtötiedot!$O$18)</f>
        <v/>
      </c>
      <c r="M89" t="str">
        <f>IF(ISBLANK(Lähtötiedot!$O$16),"",Lähtötiedot!$O$16)</f>
        <v/>
      </c>
      <c r="N89" s="73" t="str">
        <f>IF(ISBLANK(Lähtötiedot!$O$15),"",Lähtötiedot!$O$15)</f>
        <v/>
      </c>
      <c r="O89" s="73"/>
    </row>
    <row r="90" spans="1:15" x14ac:dyDescent="0.35">
      <c r="A90" t="str">
        <f>Kustannustehokas_ja_organisoitu!I32</f>
        <v>Ei kuulu</v>
      </c>
      <c r="B90" t="str">
        <f>Kustannustehokas_ja_organisoitu!P32</f>
        <v/>
      </c>
      <c r="C90" s="74" t="str">
        <f>Kustannustehokas_ja_organisoitu!A32</f>
        <v>2,3,4</v>
      </c>
      <c r="D90" t="str">
        <f>Kustannustehokas_ja_organisoitu!C32</f>
        <v>A,B,C,D</v>
      </c>
      <c r="E90" t="str">
        <f>IF(ISBLANK(Kustannustehokas_ja_organisoitu!K32),"_Otsikkorivi",Kustannustehokas_ja_organisoitu!K32)</f>
        <v>Kustannustehokas ja organisoitu</v>
      </c>
      <c r="F90" t="str">
        <f>Kustannustehokas_ja_organisoitu!L32</f>
        <v>7. Johtaminen on suunniteltua ja toiminta on kannattavaa</v>
      </c>
      <c r="G90" t="str">
        <f>IF(ISBLANK(Kustannustehokas_ja_organisoitu!R32),"Otsikkorivi",Kustannustehokas_ja_organisoitu!R32)</f>
        <v>7.6 Vesihuoltolaitoksen operatiivisesta toiminnasta kerätään järjestelmällisesti oleellista tietoa, jota hyödynnetään johtamisessa</v>
      </c>
      <c r="H90" t="str">
        <f>IF(Kustannustehokas_ja_organisoitu!N32="x","Kyllä","Ei")</f>
        <v>Ei</v>
      </c>
      <c r="I90" t="str">
        <f>IF(ISBLANK(Kustannustehokas_ja_organisoitu!S32),"",Kustannustehokas_ja_organisoitu!S32)</f>
        <v/>
      </c>
      <c r="J90">
        <f>LV!$B$10</f>
        <v>0</v>
      </c>
      <c r="K90" t="str">
        <f>LV!$I$18</f>
        <v/>
      </c>
      <c r="L90" t="str">
        <f>IF(ISBLANK(Lähtötiedot!$O$18),"",Lähtötiedot!$O$18)</f>
        <v/>
      </c>
      <c r="M90" t="str">
        <f>IF(ISBLANK(Lähtötiedot!$O$16),"",Lähtötiedot!$O$16)</f>
        <v/>
      </c>
      <c r="N90" s="73" t="str">
        <f>IF(ISBLANK(Lähtötiedot!$O$15),"",Lähtötiedot!$O$15)</f>
        <v/>
      </c>
      <c r="O90" s="73"/>
    </row>
    <row r="91" spans="1:15" x14ac:dyDescent="0.35">
      <c r="A91" t="str">
        <f>Kustannustehokas_ja_organisoitu!I33</f>
        <v>Ei kuulu</v>
      </c>
      <c r="B91" t="str">
        <f>Kustannustehokas_ja_organisoitu!P33</f>
        <v/>
      </c>
      <c r="C91" s="74">
        <f>Kustannustehokas_ja_organisoitu!A33</f>
        <v>3.4</v>
      </c>
      <c r="D91" t="str">
        <f>Kustannustehokas_ja_organisoitu!C33</f>
        <v>A,B,C,D</v>
      </c>
      <c r="E91" t="str">
        <f>IF(ISBLANK(Kustannustehokas_ja_organisoitu!K33),"_Otsikkorivi",Kustannustehokas_ja_organisoitu!K33)</f>
        <v>Kustannustehokas ja organisoitu</v>
      </c>
      <c r="F91" t="str">
        <f>Kustannustehokas_ja_organisoitu!L33</f>
        <v>7. Johtaminen on suunniteltua ja toiminta on kannattavaa</v>
      </c>
      <c r="G91" t="str">
        <f>IF(ISBLANK(Kustannustehokas_ja_organisoitu!R33),"Otsikkorivi",Kustannustehokas_ja_organisoitu!R33)</f>
        <v>7.7 Vesihuoltolaitoksella on käytössä operatiivisen toiminnan johtamisjärjestelmä (sisältää esim. vastuunjaon ja tehtäväkuvaukset) ja jatkuvan parantamisen toimintatapa.</v>
      </c>
      <c r="H91" t="str">
        <f>IF(Kustannustehokas_ja_organisoitu!N33="x","Kyllä","Ei")</f>
        <v>Ei</v>
      </c>
      <c r="I91" t="str">
        <f>IF(ISBLANK(Kustannustehokas_ja_organisoitu!S33),"",Kustannustehokas_ja_organisoitu!S33)</f>
        <v/>
      </c>
      <c r="J91">
        <f>LV!$B$10</f>
        <v>0</v>
      </c>
      <c r="K91" t="str">
        <f>LV!$I$18</f>
        <v/>
      </c>
      <c r="L91" t="str">
        <f>IF(ISBLANK(Lähtötiedot!$O$18),"",Lähtötiedot!$O$18)</f>
        <v/>
      </c>
      <c r="M91" t="str">
        <f>IF(ISBLANK(Lähtötiedot!$O$16),"",Lähtötiedot!$O$16)</f>
        <v/>
      </c>
      <c r="N91" s="73" t="str">
        <f>IF(ISBLANK(Lähtötiedot!$O$15),"",Lähtötiedot!$O$15)</f>
        <v/>
      </c>
      <c r="O91" s="73"/>
    </row>
    <row r="92" spans="1:15" x14ac:dyDescent="0.35">
      <c r="A92" t="str">
        <f>Kustannustehokas_ja_organisoitu!I34</f>
        <v>Ei kuulu</v>
      </c>
      <c r="B92" t="str">
        <f>Kustannustehokas_ja_organisoitu!P34</f>
        <v/>
      </c>
      <c r="C92" s="74">
        <f>Kustannustehokas_ja_organisoitu!A34</f>
        <v>3.4</v>
      </c>
      <c r="D92" t="str">
        <f>Kustannustehokas_ja_organisoitu!C34</f>
        <v>B,C</v>
      </c>
      <c r="E92" t="str">
        <f>IF(ISBLANK(Kustannustehokas_ja_organisoitu!K34),"_Otsikkorivi",Kustannustehokas_ja_organisoitu!K34)</f>
        <v>Kustannustehokas ja organisoitu</v>
      </c>
      <c r="F92" t="str">
        <f>Kustannustehokas_ja_organisoitu!L34</f>
        <v>7. Johtaminen on suunniteltua ja toiminta on kannattavaa</v>
      </c>
      <c r="G92" t="str">
        <f>IF(ISBLANK(Kustannustehokas_ja_organisoitu!R34),"Otsikkorivi",Kustannustehokas_ja_organisoitu!R34)</f>
        <v>7.8 Vesihuoltolaitos on kartoittanut tarpeen erisuuruisille perus- ja liittymismaksuille eri alueilla ja ottanut ne käyttöön niiden soveltuessa.</v>
      </c>
      <c r="H92" t="str">
        <f>IF(Kustannustehokas_ja_organisoitu!N34="x","Kyllä","Ei")</f>
        <v>Ei</v>
      </c>
      <c r="I92" t="str">
        <f>IF(ISBLANK(Kustannustehokas_ja_organisoitu!S34),"",Kustannustehokas_ja_organisoitu!S34)</f>
        <v/>
      </c>
      <c r="J92">
        <f>LV!$B$10</f>
        <v>0</v>
      </c>
      <c r="K92" t="str">
        <f>LV!$I$18</f>
        <v/>
      </c>
      <c r="L92" t="str">
        <f>IF(ISBLANK(Lähtötiedot!$O$18),"",Lähtötiedot!$O$18)</f>
        <v/>
      </c>
      <c r="M92" t="str">
        <f>IF(ISBLANK(Lähtötiedot!$O$16),"",Lähtötiedot!$O$16)</f>
        <v/>
      </c>
      <c r="N92" s="73" t="str">
        <f>IF(ISBLANK(Lähtötiedot!$O$15),"",Lähtötiedot!$O$15)</f>
        <v/>
      </c>
      <c r="O92" s="73"/>
    </row>
    <row r="93" spans="1:15" x14ac:dyDescent="0.35">
      <c r="A93" t="str">
        <f>Kustannustehokas_ja_organisoitu!I35</f>
        <v>Ei kuulu</v>
      </c>
      <c r="B93" t="str">
        <f>Kustannustehokas_ja_organisoitu!P35</f>
        <v/>
      </c>
      <c r="C93" s="74">
        <f>Kustannustehokas_ja_organisoitu!A35</f>
        <v>4</v>
      </c>
      <c r="D93" t="str">
        <f>Kustannustehokas_ja_organisoitu!C35</f>
        <v>A,B,C,D</v>
      </c>
      <c r="E93" t="str">
        <f>IF(ISBLANK(Kustannustehokas_ja_organisoitu!K35),"_Otsikkorivi",Kustannustehokas_ja_organisoitu!K35)</f>
        <v>Kustannustehokas ja organisoitu</v>
      </c>
      <c r="F93" t="str">
        <f>Kustannustehokas_ja_organisoitu!L35</f>
        <v>7. Johtaminen on suunniteltua ja toiminta on kannattavaa</v>
      </c>
      <c r="G93" t="str">
        <f>IF(ISBLANK(Kustannustehokas_ja_organisoitu!R35),"Otsikkorivi",Kustannustehokas_ja_organisoitu!R35)</f>
        <v>7.9 Vesihuoltolaitoksen henkilöstöllä ja johdolla on tulostavoitteet ja tulosmittarit tai muu määritelty ja mitattava ajuri, jota seurataan ja hyödynnetään toiminnan kehittämisessä.</v>
      </c>
      <c r="H93" t="str">
        <f>IF(Kustannustehokas_ja_organisoitu!N35="x","Kyllä","Ei")</f>
        <v>Ei</v>
      </c>
      <c r="I93" t="str">
        <f>IF(ISBLANK(Kustannustehokas_ja_organisoitu!S35),"",Kustannustehokas_ja_organisoitu!S35)</f>
        <v/>
      </c>
      <c r="J93">
        <f>LV!$B$10</f>
        <v>0</v>
      </c>
      <c r="K93" t="str">
        <f>LV!$I$18</f>
        <v/>
      </c>
      <c r="L93" t="str">
        <f>IF(ISBLANK(Lähtötiedot!$O$18),"",Lähtötiedot!$O$18)</f>
        <v/>
      </c>
      <c r="M93" t="str">
        <f>IF(ISBLANK(Lähtötiedot!$O$16),"",Lähtötiedot!$O$16)</f>
        <v/>
      </c>
      <c r="N93" s="73" t="str">
        <f>IF(ISBLANK(Lähtötiedot!$O$15),"",Lähtötiedot!$O$15)</f>
        <v/>
      </c>
      <c r="O93" s="73"/>
    </row>
    <row r="94" spans="1:15" x14ac:dyDescent="0.35">
      <c r="A94" t="str">
        <f>Kustannustehokas_ja_organisoitu!I36</f>
        <v>Ei kuulu</v>
      </c>
      <c r="B94" t="str">
        <f>Kustannustehokas_ja_organisoitu!P36</f>
        <v/>
      </c>
      <c r="C94" s="74">
        <f>Kustannustehokas_ja_organisoitu!A36</f>
        <v>5</v>
      </c>
      <c r="D94" t="str">
        <f>Kustannustehokas_ja_organisoitu!C36</f>
        <v>A,B,C,D</v>
      </c>
      <c r="E94" t="str">
        <f>IF(ISBLANK(Kustannustehokas_ja_organisoitu!K36),"_Otsikkorivi",Kustannustehokas_ja_organisoitu!K36)</f>
        <v>Kustannustehokas ja organisoitu</v>
      </c>
      <c r="F94" t="str">
        <f>Kustannustehokas_ja_organisoitu!L36</f>
        <v>7. Johtaminen on suunniteltua ja toiminta on kannattavaa</v>
      </c>
      <c r="G94" t="str">
        <f>IF(ISBLANK(Kustannustehokas_ja_organisoitu!R36),"Otsikkorivi",Kustannustehokas_ja_organisoitu!R36)</f>
        <v>7.10 Vesihuoltolaitoksella on käytössä auditoidut ISO 9001-laatujärjestelmä sekä ISO 14001 -ympäristöjärjestelmä tai muu vastaava järjestelmä.</v>
      </c>
      <c r="H94" t="str">
        <f>IF(Kustannustehokas_ja_organisoitu!N36="x","Kyllä","Ei")</f>
        <v>Ei</v>
      </c>
      <c r="I94" t="str">
        <f>IF(ISBLANK(Kustannustehokas_ja_organisoitu!S36),"",Kustannustehokas_ja_organisoitu!S36)</f>
        <v/>
      </c>
      <c r="J94">
        <f>LV!$B$10</f>
        <v>0</v>
      </c>
      <c r="K94" t="str">
        <f>LV!$I$18</f>
        <v/>
      </c>
      <c r="L94" t="str">
        <f>IF(ISBLANK(Lähtötiedot!$O$18),"",Lähtötiedot!$O$18)</f>
        <v/>
      </c>
      <c r="M94" t="str">
        <f>IF(ISBLANK(Lähtötiedot!$O$16),"",Lähtötiedot!$O$16)</f>
        <v/>
      </c>
      <c r="N94" s="73" t="str">
        <f>IF(ISBLANK(Lähtötiedot!$O$15),"",Lähtötiedot!$O$15)</f>
        <v/>
      </c>
      <c r="O94" s="73"/>
    </row>
    <row r="95" spans="1:15" x14ac:dyDescent="0.35">
      <c r="A95" t="str">
        <f>Kustannustehokas_ja_organisoitu!I37</f>
        <v>Ei kuulu</v>
      </c>
      <c r="B95" t="str">
        <f>Kustannustehokas_ja_organisoitu!P37</f>
        <v/>
      </c>
      <c r="C95" s="74">
        <f>Kustannustehokas_ja_organisoitu!A37</f>
        <v>5</v>
      </c>
      <c r="D95" t="str">
        <f>Kustannustehokas_ja_organisoitu!C37</f>
        <v>A,B,C,D</v>
      </c>
      <c r="E95" t="str">
        <f>IF(ISBLANK(Kustannustehokas_ja_organisoitu!K37),"_Otsikkorivi",Kustannustehokas_ja_organisoitu!K37)</f>
        <v>Kustannustehokas ja organisoitu</v>
      </c>
      <c r="F95" t="str">
        <f>Kustannustehokas_ja_organisoitu!L37</f>
        <v>7. Johtaminen on suunniteltua ja toiminta on kannattavaa</v>
      </c>
      <c r="G95" t="str">
        <f>IF(ISBLANK(Kustannustehokas_ja_organisoitu!R37),"Otsikkorivi",Kustannustehokas_ja_organisoitu!R37)</f>
        <v>7.11 Vesihuoltolaitoksella on käytössä auditoitu ISO 45001 työterveys- ja turvallisuusjärjestelmä tai muu vastaava.</v>
      </c>
      <c r="H95" t="str">
        <f>IF(Kustannustehokas_ja_organisoitu!N37="x","Kyllä","Ei")</f>
        <v>Ei</v>
      </c>
      <c r="I95" t="str">
        <f>IF(ISBLANK(Kustannustehokas_ja_organisoitu!S37),"",Kustannustehokas_ja_organisoitu!S37)</f>
        <v/>
      </c>
      <c r="J95">
        <f>LV!$B$10</f>
        <v>0</v>
      </c>
      <c r="K95" t="str">
        <f>LV!$I$18</f>
        <v/>
      </c>
      <c r="L95" t="str">
        <f>IF(ISBLANK(Lähtötiedot!$O$18),"",Lähtötiedot!$O$18)</f>
        <v/>
      </c>
      <c r="M95" t="str">
        <f>IF(ISBLANK(Lähtötiedot!$O$16),"",Lähtötiedot!$O$16)</f>
        <v/>
      </c>
      <c r="N95" s="73" t="str">
        <f>IF(ISBLANK(Lähtötiedot!$O$15),"",Lähtötiedot!$O$15)</f>
        <v/>
      </c>
      <c r="O95" s="73"/>
    </row>
    <row r="96" spans="1:15" hidden="1" x14ac:dyDescent="0.35">
      <c r="A96" t="str">
        <f>Kustannustehokas_ja_organisoitu!I38</f>
        <v>Ei kuulu</v>
      </c>
      <c r="B96" t="str">
        <f>Kustannustehokas_ja_organisoitu!P38</f>
        <v/>
      </c>
      <c r="C96" s="74" t="str">
        <f>Kustannustehokas_ja_organisoitu!A38</f>
        <v xml:space="preserve">1,2,3,4 </v>
      </c>
      <c r="D96" t="str">
        <f>Kustannustehokas_ja_organisoitu!C38</f>
        <v>A,B,C,D</v>
      </c>
      <c r="E96" t="str">
        <f>IF(ISBLANK(Kustannustehokas_ja_organisoitu!K38),"_Otsikkorivi",Kustannustehokas_ja_organisoitu!K38)</f>
        <v>Kustannustehokas ja organisoitu</v>
      </c>
      <c r="F96" t="str">
        <f>Kustannustehokas_ja_organisoitu!L38</f>
        <v>_Otsikkorivi</v>
      </c>
      <c r="G96" t="str">
        <f>IF(ISBLANK(Kustannustehokas_ja_organisoitu!R38),"Otsikkorivi",Kustannustehokas_ja_organisoitu!R38)</f>
        <v>8. Käyttötalouden hallinta ja hankinnat ovat suunniteltuja, tehostettuja ja läpinäkyviä.</v>
      </c>
      <c r="H96" t="str">
        <f>IF(Kustannustehokas_ja_organisoitu!N38="x","Kyllä","Ei")</f>
        <v>Ei</v>
      </c>
      <c r="I96" t="str">
        <f>IF(ISBLANK(Kustannustehokas_ja_organisoitu!S38),"",Kustannustehokas_ja_organisoitu!S38)</f>
        <v/>
      </c>
      <c r="J96">
        <f>LV!$B$10</f>
        <v>0</v>
      </c>
      <c r="K96" t="str">
        <f>LV!$I$18</f>
        <v/>
      </c>
      <c r="L96" t="str">
        <f>IF(ISBLANK(Lähtötiedot!$O$18),"",Lähtötiedot!$O$18)</f>
        <v/>
      </c>
      <c r="M96" t="str">
        <f>IF(ISBLANK(Lähtötiedot!$O$16),"",Lähtötiedot!$O$16)</f>
        <v/>
      </c>
      <c r="N96" s="73" t="str">
        <f>IF(ISBLANK(Lähtötiedot!$O$15),"",Lähtötiedot!$O$15)</f>
        <v/>
      </c>
      <c r="O96" s="73"/>
    </row>
    <row r="97" spans="1:15" x14ac:dyDescent="0.35">
      <c r="A97" t="str">
        <f>Kustannustehokas_ja_organisoitu!I39</f>
        <v>Ei kuulu</v>
      </c>
      <c r="B97" t="str">
        <f>Kustannustehokas_ja_organisoitu!P39</f>
        <v/>
      </c>
      <c r="C97" s="74" t="str">
        <f>Kustannustehokas_ja_organisoitu!A39</f>
        <v>1,2,3,4</v>
      </c>
      <c r="D97" t="str">
        <f>Kustannustehokas_ja_organisoitu!C39</f>
        <v>A,B,C,D</v>
      </c>
      <c r="E97" t="str">
        <f>IF(ISBLANK(Kustannustehokas_ja_organisoitu!K39),"_Otsikkorivi",Kustannustehokas_ja_organisoitu!K39)</f>
        <v>Kustannustehokas ja organisoitu</v>
      </c>
      <c r="F97" t="str">
        <f>Kustannustehokas_ja_organisoitu!L39</f>
        <v>8. Käyttötalouden hallinta ja hankinnat ovat suunniteltuja, tehostettuja ja läpinäkyviä.</v>
      </c>
      <c r="G97" t="str">
        <f>IF(ISBLANK(Kustannustehokas_ja_organisoitu!R39),"Otsikkorivi",Kustannustehokas_ja_organisoitu!R39)</f>
        <v>8.1 Vesihuoltolaitoksen hyödykkeiden kulutusta seurataan. Hyödykkeellä tarkoitetaan vesilaitoksen toiminnassaan käyttämiä aineita, tarvikkeita tai palveluita, kuten esim. kemikaaleja, sähköä, rakentamispalvelua tms.</v>
      </c>
      <c r="H97" t="str">
        <f>IF(Kustannustehokas_ja_organisoitu!N39="x","Kyllä","Ei")</f>
        <v>Ei</v>
      </c>
      <c r="I97" t="str">
        <f>IF(ISBLANK(Kustannustehokas_ja_organisoitu!S39),"",Kustannustehokas_ja_organisoitu!S39)</f>
        <v/>
      </c>
      <c r="J97">
        <f>LV!$B$10</f>
        <v>0</v>
      </c>
      <c r="K97" t="str">
        <f>LV!$I$18</f>
        <v/>
      </c>
      <c r="L97" t="str">
        <f>IF(ISBLANK(Lähtötiedot!$O$18),"",Lähtötiedot!$O$18)</f>
        <v/>
      </c>
      <c r="M97" t="str">
        <f>IF(ISBLANK(Lähtötiedot!$O$16),"",Lähtötiedot!$O$16)</f>
        <v/>
      </c>
      <c r="N97" s="73" t="str">
        <f>IF(ISBLANK(Lähtötiedot!$O$15),"",Lähtötiedot!$O$15)</f>
        <v/>
      </c>
      <c r="O97" s="73"/>
    </row>
    <row r="98" spans="1:15" x14ac:dyDescent="0.35">
      <c r="A98" t="str">
        <f>Kustannustehokas_ja_organisoitu!I40</f>
        <v>Ei kuulu</v>
      </c>
      <c r="B98" t="str">
        <f>Kustannustehokas_ja_organisoitu!P40</f>
        <v/>
      </c>
      <c r="C98" s="74" t="str">
        <f>Kustannustehokas_ja_organisoitu!A40</f>
        <v>1,2,3,4</v>
      </c>
      <c r="D98" t="str">
        <f>Kustannustehokas_ja_organisoitu!C40</f>
        <v>A,B,C,D</v>
      </c>
      <c r="E98" t="str">
        <f>IF(ISBLANK(Kustannustehokas_ja_organisoitu!K40),"_Otsikkorivi",Kustannustehokas_ja_organisoitu!K40)</f>
        <v>Kustannustehokas ja organisoitu</v>
      </c>
      <c r="F98" t="str">
        <f>Kustannustehokas_ja_organisoitu!L40</f>
        <v>8. Käyttötalouden hallinta ja hankinnat ovat suunniteltuja, tehostettuja ja läpinäkyviä.</v>
      </c>
      <c r="G98" t="str">
        <f>IF(ISBLANK(Kustannustehokas_ja_organisoitu!R40),"Otsikkorivi",Kustannustehokas_ja_organisoitu!R40)</f>
        <v xml:space="preserve">8.2 Vesihuoltolaitoksen kustannuksia seurataan ja käyttötaloutta tehostetaan aktiivisesti. </v>
      </c>
      <c r="H98" t="str">
        <f>IF(Kustannustehokas_ja_organisoitu!N40="x","Kyllä","Ei")</f>
        <v>Ei</v>
      </c>
      <c r="I98" t="str">
        <f>IF(ISBLANK(Kustannustehokas_ja_organisoitu!S40),"",Kustannustehokas_ja_organisoitu!S40)</f>
        <v/>
      </c>
      <c r="J98">
        <f>LV!$B$10</f>
        <v>0</v>
      </c>
      <c r="K98" t="str">
        <f>LV!$I$18</f>
        <v/>
      </c>
      <c r="L98" t="str">
        <f>IF(ISBLANK(Lähtötiedot!$O$18),"",Lähtötiedot!$O$18)</f>
        <v/>
      </c>
      <c r="M98" t="str">
        <f>IF(ISBLANK(Lähtötiedot!$O$16),"",Lähtötiedot!$O$16)</f>
        <v/>
      </c>
      <c r="N98" s="73" t="str">
        <f>IF(ISBLANK(Lähtötiedot!$O$15),"",Lähtötiedot!$O$15)</f>
        <v/>
      </c>
      <c r="O98" s="73"/>
    </row>
    <row r="99" spans="1:15" x14ac:dyDescent="0.35">
      <c r="A99" t="str">
        <f>Kustannustehokas_ja_organisoitu!I41</f>
        <v>Ei kuulu</v>
      </c>
      <c r="B99" t="str">
        <f>Kustannustehokas_ja_organisoitu!P41</f>
        <v/>
      </c>
      <c r="C99" s="74" t="str">
        <f>Kustannustehokas_ja_organisoitu!A41</f>
        <v>1,2,3,4</v>
      </c>
      <c r="D99" t="str">
        <f>Kustannustehokas_ja_organisoitu!C41</f>
        <v>A,B,C,D</v>
      </c>
      <c r="E99" t="str">
        <f>IF(ISBLANK(Kustannustehokas_ja_organisoitu!K41),"_Otsikkorivi",Kustannustehokas_ja_organisoitu!K41)</f>
        <v>Kustannustehokas ja organisoitu</v>
      </c>
      <c r="F99" t="str">
        <f>Kustannustehokas_ja_organisoitu!L41</f>
        <v>8. Käyttötalouden hallinta ja hankinnat ovat suunniteltuja, tehostettuja ja läpinäkyviä.</v>
      </c>
      <c r="G99" t="str">
        <f>IF(ISBLANK(Kustannustehokas_ja_organisoitu!R41),"Otsikkorivi",Kustannustehokas_ja_organisoitu!R41)</f>
        <v xml:space="preserve">8.3 Vesihuoltolaitoksella tai kunnalla on vesihuoltolaitosta koskevat hankintaohjeet. Hankinnoissa otetaan tarkoituksenmukaisesti huomioon laatu- ja hintakriteerit. </v>
      </c>
      <c r="H99" t="str">
        <f>IF(Kustannustehokas_ja_organisoitu!N41="x","Kyllä","Ei")</f>
        <v>Ei</v>
      </c>
      <c r="I99" t="str">
        <f>IF(ISBLANK(Kustannustehokas_ja_organisoitu!S41),"",Kustannustehokas_ja_organisoitu!S41)</f>
        <v/>
      </c>
      <c r="J99">
        <f>LV!$B$10</f>
        <v>0</v>
      </c>
      <c r="K99" t="str">
        <f>LV!$I$18</f>
        <v/>
      </c>
      <c r="L99" t="str">
        <f>IF(ISBLANK(Lähtötiedot!$O$18),"",Lähtötiedot!$O$18)</f>
        <v/>
      </c>
      <c r="M99" t="str">
        <f>IF(ISBLANK(Lähtötiedot!$O$16),"",Lähtötiedot!$O$16)</f>
        <v/>
      </c>
      <c r="N99" s="73" t="str">
        <f>IF(ISBLANK(Lähtötiedot!$O$15),"",Lähtötiedot!$O$15)</f>
        <v/>
      </c>
      <c r="O99" s="73"/>
    </row>
    <row r="100" spans="1:15" x14ac:dyDescent="0.35">
      <c r="A100" t="str">
        <f>Kustannustehokas_ja_organisoitu!I42</f>
        <v>Ei kuulu</v>
      </c>
      <c r="B100" t="str">
        <f>Kustannustehokas_ja_organisoitu!P42</f>
        <v/>
      </c>
      <c r="C100" s="74" t="str">
        <f>Kustannustehokas_ja_organisoitu!A42</f>
        <v>2,3,4</v>
      </c>
      <c r="D100" t="str">
        <f>Kustannustehokas_ja_organisoitu!C42</f>
        <v>A,B,C,D</v>
      </c>
      <c r="E100" t="str">
        <f>IF(ISBLANK(Kustannustehokas_ja_organisoitu!K42),"_Otsikkorivi",Kustannustehokas_ja_organisoitu!K42)</f>
        <v>Kustannustehokas ja organisoitu</v>
      </c>
      <c r="F100" t="str">
        <f>Kustannustehokas_ja_organisoitu!L42</f>
        <v>8. Käyttötalouden hallinta ja hankinnat ovat suunniteltuja, tehostettuja ja läpinäkyviä.</v>
      </c>
      <c r="G100" t="str">
        <f>IF(ISBLANK(Kustannustehokas_ja_organisoitu!R42),"Otsikkorivi",Kustannustehokas_ja_organisoitu!R42)</f>
        <v>8.4 Vesihuoltolaitoksen henkilöstö on saanut koulutusta hankintojen ja palvelujen kilpailutukseen ja sopimuksiin sekä palvelujen ja toimitusten valvontaan.</v>
      </c>
      <c r="H100" t="str">
        <f>IF(Kustannustehokas_ja_organisoitu!N42="x","Kyllä","Ei")</f>
        <v>Ei</v>
      </c>
      <c r="I100" t="str">
        <f>IF(ISBLANK(Kustannustehokas_ja_organisoitu!S42),"",Kustannustehokas_ja_organisoitu!S42)</f>
        <v/>
      </c>
      <c r="J100">
        <f>LV!$B$10</f>
        <v>0</v>
      </c>
      <c r="K100" t="str">
        <f>LV!$I$18</f>
        <v/>
      </c>
      <c r="L100" t="str">
        <f>IF(ISBLANK(Lähtötiedot!$O$18),"",Lähtötiedot!$O$18)</f>
        <v/>
      </c>
      <c r="M100" t="str">
        <f>IF(ISBLANK(Lähtötiedot!$O$16),"",Lähtötiedot!$O$16)</f>
        <v/>
      </c>
      <c r="N100" s="73" t="str">
        <f>IF(ISBLANK(Lähtötiedot!$O$15),"",Lähtötiedot!$O$15)</f>
        <v/>
      </c>
      <c r="O100" s="73"/>
    </row>
    <row r="101" spans="1:15" x14ac:dyDescent="0.35">
      <c r="A101" t="str">
        <f>Kustannustehokas_ja_organisoitu!I43</f>
        <v>Ei kuulu</v>
      </c>
      <c r="B101" t="str">
        <f>Kustannustehokas_ja_organisoitu!P43</f>
        <v/>
      </c>
      <c r="C101" s="74" t="str">
        <f>Kustannustehokas_ja_organisoitu!A43</f>
        <v>2,3,4</v>
      </c>
      <c r="D101" t="str">
        <f>Kustannustehokas_ja_organisoitu!C43</f>
        <v>A,B,C,D</v>
      </c>
      <c r="E101" t="str">
        <f>IF(ISBLANK(Kustannustehokas_ja_organisoitu!K43),"_Otsikkorivi",Kustannustehokas_ja_organisoitu!K43)</f>
        <v>Kustannustehokas ja organisoitu</v>
      </c>
      <c r="F101" t="str">
        <f>Kustannustehokas_ja_organisoitu!L43</f>
        <v>8. Käyttötalouden hallinta ja hankinnat ovat suunniteltuja, tehostettuja ja läpinäkyviä.</v>
      </c>
      <c r="G101" t="str">
        <f>IF(ISBLANK(Kustannustehokas_ja_organisoitu!R43),"Otsikkorivi",Kustannustehokas_ja_organisoitu!R43)</f>
        <v xml:space="preserve">8.5 Vesihuoltolaitoksella on puitesopimukset keskeisten tavaroiden ja palveluiden hankinnan osalta. </v>
      </c>
      <c r="H101" t="str">
        <f>IF(Kustannustehokas_ja_organisoitu!N43="x","Kyllä","Ei")</f>
        <v>Ei</v>
      </c>
      <c r="I101" t="str">
        <f>IF(ISBLANK(Kustannustehokas_ja_organisoitu!S43),"",Kustannustehokas_ja_organisoitu!S43)</f>
        <v/>
      </c>
      <c r="J101">
        <f>LV!$B$10</f>
        <v>0</v>
      </c>
      <c r="K101" t="str">
        <f>LV!$I$18</f>
        <v/>
      </c>
      <c r="L101" t="str">
        <f>IF(ISBLANK(Lähtötiedot!$O$18),"",Lähtötiedot!$O$18)</f>
        <v/>
      </c>
      <c r="M101" t="str">
        <f>IF(ISBLANK(Lähtötiedot!$O$16),"",Lähtötiedot!$O$16)</f>
        <v/>
      </c>
      <c r="N101" s="73" t="str">
        <f>IF(ISBLANK(Lähtötiedot!$O$15),"",Lähtötiedot!$O$15)</f>
        <v/>
      </c>
      <c r="O101" s="73"/>
    </row>
    <row r="102" spans="1:15" x14ac:dyDescent="0.35">
      <c r="A102" t="str">
        <f>Kustannustehokas_ja_organisoitu!I44</f>
        <v>Ei kuulu</v>
      </c>
      <c r="B102" t="str">
        <f>Kustannustehokas_ja_organisoitu!P44</f>
        <v/>
      </c>
      <c r="C102" s="74" t="str">
        <f>Kustannustehokas_ja_organisoitu!A44</f>
        <v>2,3,4</v>
      </c>
      <c r="D102" t="str">
        <f>Kustannustehokas_ja_organisoitu!C44</f>
        <v>A,B,C,D</v>
      </c>
      <c r="E102" t="str">
        <f>IF(ISBLANK(Kustannustehokas_ja_organisoitu!K44),"_Otsikkorivi",Kustannustehokas_ja_organisoitu!K44)</f>
        <v>Kustannustehokas ja organisoitu</v>
      </c>
      <c r="F102" t="str">
        <f>Kustannustehokas_ja_organisoitu!L44</f>
        <v>8. Käyttötalouden hallinta ja hankinnat ovat suunniteltuja, tehostettuja ja läpinäkyviä.</v>
      </c>
      <c r="G102" t="str">
        <f>IF(ISBLANK(Kustannustehokas_ja_organisoitu!R44),"Otsikkorivi",Kustannustehokas_ja_organisoitu!R44)</f>
        <v>8.6 Vesihuoltolaitos kerää ja käyttää tunnuslukutietoa systemaattisesti ja vertailee toimintaansa kokoluokan ja lähialueen muihin vastaaviin toimijoihin.</v>
      </c>
      <c r="H102" t="str">
        <f>IF(Kustannustehokas_ja_organisoitu!N44="x","Kyllä","Ei")</f>
        <v>Ei</v>
      </c>
      <c r="I102" t="str">
        <f>IF(ISBLANK(Kustannustehokas_ja_organisoitu!S44),"",Kustannustehokas_ja_organisoitu!S44)</f>
        <v/>
      </c>
      <c r="J102">
        <f>LV!$B$10</f>
        <v>0</v>
      </c>
      <c r="K102" t="str">
        <f>LV!$I$18</f>
        <v/>
      </c>
      <c r="L102" t="str">
        <f>IF(ISBLANK(Lähtötiedot!$O$18),"",Lähtötiedot!$O$18)</f>
        <v/>
      </c>
      <c r="M102" t="str">
        <f>IF(ISBLANK(Lähtötiedot!$O$16),"",Lähtötiedot!$O$16)</f>
        <v/>
      </c>
      <c r="N102" s="73" t="str">
        <f>IF(ISBLANK(Lähtötiedot!$O$15),"",Lähtötiedot!$O$15)</f>
        <v/>
      </c>
      <c r="O102" s="73"/>
    </row>
    <row r="103" spans="1:15" x14ac:dyDescent="0.35">
      <c r="A103" t="str">
        <f>Kustannustehokas_ja_organisoitu!I45</f>
        <v>Ei kuulu</v>
      </c>
      <c r="B103" t="str">
        <f>Kustannustehokas_ja_organisoitu!P45</f>
        <v/>
      </c>
      <c r="C103" s="74">
        <f>Kustannustehokas_ja_organisoitu!A45</f>
        <v>3.4</v>
      </c>
      <c r="D103" t="str">
        <f>Kustannustehokas_ja_organisoitu!C45</f>
        <v>A,B,C,D</v>
      </c>
      <c r="E103" t="str">
        <f>IF(ISBLANK(Kustannustehokas_ja_organisoitu!K45),"_Otsikkorivi",Kustannustehokas_ja_organisoitu!K45)</f>
        <v>Kustannustehokas ja organisoitu</v>
      </c>
      <c r="F103" t="str">
        <f>Kustannustehokas_ja_organisoitu!L45</f>
        <v>8. Käyttötalouden hallinta ja hankinnat ovat suunniteltuja, tehostettuja ja läpinäkyviä.</v>
      </c>
      <c r="G103" t="str">
        <f>IF(ISBLANK(Kustannustehokas_ja_organisoitu!R45),"Otsikkorivi",Kustannustehokas_ja_organisoitu!R45)</f>
        <v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v>
      </c>
      <c r="H103" t="str">
        <f>IF(Kustannustehokas_ja_organisoitu!N45="x","Kyllä","Ei")</f>
        <v>Ei</v>
      </c>
      <c r="I103" t="str">
        <f>IF(ISBLANK(Kustannustehokas_ja_organisoitu!S45),"",Kustannustehokas_ja_organisoitu!S45)</f>
        <v/>
      </c>
      <c r="J103">
        <f>LV!$B$10</f>
        <v>0</v>
      </c>
      <c r="K103" t="str">
        <f>LV!$I$18</f>
        <v/>
      </c>
      <c r="L103" t="str">
        <f>IF(ISBLANK(Lähtötiedot!$O$18),"",Lähtötiedot!$O$18)</f>
        <v/>
      </c>
      <c r="M103" t="str">
        <f>IF(ISBLANK(Lähtötiedot!$O$16),"",Lähtötiedot!$O$16)</f>
        <v/>
      </c>
      <c r="N103" s="73" t="str">
        <f>IF(ISBLANK(Lähtötiedot!$O$15),"",Lähtötiedot!$O$15)</f>
        <v/>
      </c>
      <c r="O103" s="73"/>
    </row>
    <row r="104" spans="1:15" x14ac:dyDescent="0.35">
      <c r="A104" t="str">
        <f>Kustannustehokas_ja_organisoitu!I46</f>
        <v>Ei kuulu</v>
      </c>
      <c r="B104" t="str">
        <f>Kustannustehokas_ja_organisoitu!P46</f>
        <v/>
      </c>
      <c r="C104" s="74">
        <f>Kustannustehokas_ja_organisoitu!A46</f>
        <v>5</v>
      </c>
      <c r="D104" t="str">
        <f>Kustannustehokas_ja_organisoitu!C46</f>
        <v>A,B,C,D</v>
      </c>
      <c r="E104" t="str">
        <f>IF(ISBLANK(Kustannustehokas_ja_organisoitu!K46),"_Otsikkorivi",Kustannustehokas_ja_organisoitu!K46)</f>
        <v>Kustannustehokas ja organisoitu</v>
      </c>
      <c r="F104" t="str">
        <f>Kustannustehokas_ja_organisoitu!L46</f>
        <v>8. Käyttötalouden hallinta ja hankinnat ovat suunniteltuja, tehostettuja ja läpinäkyviä.</v>
      </c>
      <c r="G104" t="str">
        <f>IF(ISBLANK(Kustannustehokas_ja_organisoitu!R46),"Otsikkorivi",Kustannustehokas_ja_organisoitu!R46)</f>
        <v>8.8 Vesihuoltolaitoksen hankintakriteereihin sisältyvät sosiaalinen ja ympäristövastuullisuus</v>
      </c>
      <c r="H104" t="str">
        <f>IF(Kustannustehokas_ja_organisoitu!N46="x","Kyllä","Ei")</f>
        <v>Ei</v>
      </c>
      <c r="I104" t="str">
        <f>IF(ISBLANK(Kustannustehokas_ja_organisoitu!S46),"",Kustannustehokas_ja_organisoitu!S46)</f>
        <v/>
      </c>
      <c r="J104">
        <f>LV!$B$10</f>
        <v>0</v>
      </c>
      <c r="K104" t="str">
        <f>LV!$I$18</f>
        <v/>
      </c>
      <c r="L104" t="str">
        <f>IF(ISBLANK(Lähtötiedot!$O$18),"",Lähtötiedot!$O$18)</f>
        <v/>
      </c>
      <c r="M104" t="str">
        <f>IF(ISBLANK(Lähtötiedot!$O$16),"",Lähtötiedot!$O$16)</f>
        <v/>
      </c>
      <c r="N104" s="73" t="str">
        <f>IF(ISBLANK(Lähtötiedot!$O$15),"",Lähtötiedot!$O$15)</f>
        <v/>
      </c>
      <c r="O104" s="73"/>
    </row>
    <row r="105" spans="1:15" hidden="1" x14ac:dyDescent="0.35">
      <c r="A105" t="str">
        <f>Kestävä_ja_kehittyvä!I5</f>
        <v>Ei kuulu</v>
      </c>
      <c r="B105" t="str">
        <f>Kestävä_ja_kehittyvä!P5</f>
        <v/>
      </c>
      <c r="C105" s="74" t="str">
        <f>Kestävä_ja_kehittyvä!A5</f>
        <v xml:space="preserve">1,2,3,4 </v>
      </c>
      <c r="D105" t="str">
        <f>Kestävä_ja_kehittyvä!C5</f>
        <v>A,B,C,D</v>
      </c>
      <c r="E105" t="str">
        <f>IF(ISBLANK(Kestävä_ja_kehittyvä!K5),"_Otsikkorivi",Kestävä_ja_kehittyvä!K5)</f>
        <v>Kestävä ja kehittyvä</v>
      </c>
      <c r="F105" t="str">
        <f>Kestävä_ja_kehittyvä!L5</f>
        <v>_Otsikkorivi</v>
      </c>
      <c r="G105" t="str">
        <f>IF(ISBLANK(Kestävä_ja_kehittyvä!R5),"Otsikkorivi",Kestävä_ja_kehittyvä!R5)</f>
        <v>9. Jätevesien käsittelyn ja johtamisen ympäristökuormitus minimoidaan</v>
      </c>
      <c r="H105" t="str">
        <f>IF(Kestävä_ja_kehittyvä!N5="x","Kyllä","Ei")</f>
        <v>Ei</v>
      </c>
      <c r="I105" t="str">
        <f>IF(ISBLANK(Kestävä_ja_kehittyvä!S5),"",Kestävä_ja_kehittyvä!S5)</f>
        <v/>
      </c>
      <c r="J105">
        <f>LV!$B$10</f>
        <v>0</v>
      </c>
      <c r="K105" t="str">
        <f>LV!$I$18</f>
        <v/>
      </c>
      <c r="L105" t="str">
        <f>IF(ISBLANK(Lähtötiedot!$O$18),"",Lähtötiedot!$O$18)</f>
        <v/>
      </c>
      <c r="M105" t="str">
        <f>IF(ISBLANK(Lähtötiedot!$O$16),"",Lähtötiedot!$O$16)</f>
        <v/>
      </c>
      <c r="N105" s="73" t="str">
        <f>IF(ISBLANK(Lähtötiedot!$O$15),"",Lähtötiedot!$O$15)</f>
        <v/>
      </c>
      <c r="O105" s="73"/>
    </row>
    <row r="106" spans="1:15" x14ac:dyDescent="0.35">
      <c r="A106" t="str">
        <f>Kestävä_ja_kehittyvä!I6</f>
        <v>Ei kuulu</v>
      </c>
      <c r="B106" t="str">
        <f>Kestävä_ja_kehittyvä!P6</f>
        <v/>
      </c>
      <c r="C106" s="74" t="str">
        <f>Kestävä_ja_kehittyvä!A6</f>
        <v>1,2,3,4</v>
      </c>
      <c r="D106" t="str">
        <f>Kestävä_ja_kehittyvä!C6</f>
        <v>C</v>
      </c>
      <c r="E106" t="str">
        <f>IF(ISBLANK(Kestävä_ja_kehittyvä!K6),"_Otsikkorivi",Kestävä_ja_kehittyvä!K6)</f>
        <v>Kestävä ja kehittyvä</v>
      </c>
      <c r="F106" t="str">
        <f>Kestävä_ja_kehittyvä!L6</f>
        <v>9. Jätevesien käsittelyn ja johtamisen ympäristökuormitus minimoidaan</v>
      </c>
      <c r="G106" t="str">
        <f>IF(ISBLANK(Kestävä_ja_kehittyvä!R6),"Otsikkorivi",Kestävä_ja_kehittyvä!R6)</f>
        <v>9.1 Jätevesiverkoston vuotovesiprosentti &lt; 30 %</v>
      </c>
      <c r="H106" t="str">
        <f>IF(Kestävä_ja_kehittyvä!N6="x","Kyllä","Ei")</f>
        <v>Kyllä</v>
      </c>
      <c r="I106" t="str">
        <f>IF(ISBLANK(Kestävä_ja_kehittyvä!S6),"",Kestävä_ja_kehittyvä!S6)</f>
        <v/>
      </c>
      <c r="J106">
        <f>LV!$B$10</f>
        <v>0</v>
      </c>
      <c r="K106" t="str">
        <f>LV!$I$18</f>
        <v/>
      </c>
      <c r="L106" t="str">
        <f>IF(ISBLANK(Lähtötiedot!$O$18),"",Lähtötiedot!$O$18)</f>
        <v/>
      </c>
      <c r="M106" t="str">
        <f>IF(ISBLANK(Lähtötiedot!$O$16),"",Lähtötiedot!$O$16)</f>
        <v/>
      </c>
      <c r="N106" s="73" t="str">
        <f>IF(ISBLANK(Lähtötiedot!$O$15),"",Lähtötiedot!$O$15)</f>
        <v/>
      </c>
      <c r="O106" s="73"/>
    </row>
    <row r="107" spans="1:15" x14ac:dyDescent="0.35">
      <c r="A107" t="str">
        <f>Kestävä_ja_kehittyvä!I7</f>
        <v>Ei kuulu</v>
      </c>
      <c r="B107" t="str">
        <f>Kestävä_ja_kehittyvä!P7</f>
        <v/>
      </c>
      <c r="C107" s="74" t="str">
        <f>Kestävä_ja_kehittyvä!A7</f>
        <v>1,2,3,4</v>
      </c>
      <c r="D107" t="str">
        <f>Kestävä_ja_kehittyvä!C7</f>
        <v>C</v>
      </c>
      <c r="E107" t="str">
        <f>IF(ISBLANK(Kestävä_ja_kehittyvä!K7),"_Otsikkorivi",Kestävä_ja_kehittyvä!K7)</f>
        <v>Kestävä ja kehittyvä</v>
      </c>
      <c r="F107" t="str">
        <f>Kestävä_ja_kehittyvä!L7</f>
        <v>9. Jätevesien käsittelyn ja johtamisen ympäristökuormitus minimoidaan</v>
      </c>
      <c r="G107" t="str">
        <f>IF(ISBLANK(Kestävä_ja_kehittyvä!R7),"Otsikkorivi",Kestävä_ja_kehittyvä!R7)</f>
        <v>9.2 Viemäritukosten määrä &lt; 5 kpl/100 km/v</v>
      </c>
      <c r="H107" t="str">
        <f>IF(Kestävä_ja_kehittyvä!N7="x","Kyllä","Ei")</f>
        <v>Kyllä</v>
      </c>
      <c r="I107" t="str">
        <f>IF(ISBLANK(Kestävä_ja_kehittyvä!S7),"",Kestävä_ja_kehittyvä!S7)</f>
        <v/>
      </c>
      <c r="J107">
        <f>LV!$B$10</f>
        <v>0</v>
      </c>
      <c r="K107" t="str">
        <f>LV!$I$18</f>
        <v/>
      </c>
      <c r="L107" t="str">
        <f>IF(ISBLANK(Lähtötiedot!$O$18),"",Lähtötiedot!$O$18)</f>
        <v/>
      </c>
      <c r="M107" t="str">
        <f>IF(ISBLANK(Lähtötiedot!$O$16),"",Lähtötiedot!$O$16)</f>
        <v/>
      </c>
      <c r="N107" s="73" t="str">
        <f>IF(ISBLANK(Lähtötiedot!$O$15),"",Lähtötiedot!$O$15)</f>
        <v/>
      </c>
      <c r="O107" s="73"/>
    </row>
    <row r="108" spans="1:15" x14ac:dyDescent="0.35">
      <c r="A108" t="str">
        <f>Kestävä_ja_kehittyvä!I8</f>
        <v>Ei kuulu</v>
      </c>
      <c r="B108" t="str">
        <f>Kestävä_ja_kehittyvä!P8</f>
        <v/>
      </c>
      <c r="C108" s="74" t="str">
        <f>Kestävä_ja_kehittyvä!A8</f>
        <v>1,2,3,4</v>
      </c>
      <c r="D108" t="str">
        <f>Kestävä_ja_kehittyvä!C8</f>
        <v>D</v>
      </c>
      <c r="E108" t="str">
        <f>IF(ISBLANK(Kestävä_ja_kehittyvä!K8),"_Otsikkorivi",Kestävä_ja_kehittyvä!K8)</f>
        <v>Kestävä ja kehittyvä</v>
      </c>
      <c r="F108" t="str">
        <f>Kestävä_ja_kehittyvä!L8</f>
        <v>9. Jätevesien käsittelyn ja johtamisen ympäristökuormitus minimoidaan</v>
      </c>
      <c r="G108" t="str">
        <f>IF(ISBLANK(Kestävä_ja_kehittyvä!R8),"Otsikkorivi",Kestävä_ja_kehittyvä!R8)</f>
        <v>9.3 Laitosohitusten määrä jätevedestä &lt; 0,5 %</v>
      </c>
      <c r="H108" t="str">
        <f>IF(Kestävä_ja_kehittyvä!N8="x","Kyllä","Ei")</f>
        <v>Kyllä</v>
      </c>
      <c r="I108" t="str">
        <f>IF(ISBLANK(Kestävä_ja_kehittyvä!S8),"",Kestävä_ja_kehittyvä!S8)</f>
        <v/>
      </c>
      <c r="J108">
        <f>LV!$B$10</f>
        <v>0</v>
      </c>
      <c r="K108" t="str">
        <f>LV!$I$18</f>
        <v/>
      </c>
      <c r="L108" t="str">
        <f>IF(ISBLANK(Lähtötiedot!$O$18),"",Lähtötiedot!$O$18)</f>
        <v/>
      </c>
      <c r="M108" t="str">
        <f>IF(ISBLANK(Lähtötiedot!$O$16),"",Lähtötiedot!$O$16)</f>
        <v/>
      </c>
      <c r="N108" s="73" t="str">
        <f>IF(ISBLANK(Lähtötiedot!$O$15),"",Lähtötiedot!$O$15)</f>
        <v/>
      </c>
      <c r="O108" s="73"/>
    </row>
    <row r="109" spans="1:15" x14ac:dyDescent="0.35">
      <c r="A109" t="str">
        <f>Kestävä_ja_kehittyvä!I9</f>
        <v>Ei kuulu</v>
      </c>
      <c r="B109" t="str">
        <f>Kestävä_ja_kehittyvä!P9</f>
        <v/>
      </c>
      <c r="C109" s="74" t="str">
        <f>Kestävä_ja_kehittyvä!A9</f>
        <v>1,2,3,4</v>
      </c>
      <c r="D109" t="str">
        <f>Kestävä_ja_kehittyvä!C9</f>
        <v>C</v>
      </c>
      <c r="E109" t="str">
        <f>IF(ISBLANK(Kestävä_ja_kehittyvä!K9),"_Otsikkorivi",Kestävä_ja_kehittyvä!K9)</f>
        <v>Kestävä ja kehittyvä</v>
      </c>
      <c r="F109" t="str">
        <f>Kestävä_ja_kehittyvä!L9</f>
        <v>9. Jätevesien käsittelyn ja johtamisen ympäristökuormitus minimoidaan</v>
      </c>
      <c r="G109" t="str">
        <f>IF(ISBLANK(Kestävä_ja_kehittyvä!R9),"Otsikkorivi",Kestävä_ja_kehittyvä!R9)</f>
        <v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v>
      </c>
      <c r="H109" t="str">
        <f>IF(Kestävä_ja_kehittyvä!N9="x","Kyllä","Ei")</f>
        <v>Ei</v>
      </c>
      <c r="I109" t="str">
        <f>IF(ISBLANK(Kestävä_ja_kehittyvä!S9),"",Kestävä_ja_kehittyvä!S9)</f>
        <v/>
      </c>
      <c r="J109">
        <f>LV!$B$10</f>
        <v>0</v>
      </c>
      <c r="K109" t="str">
        <f>LV!$I$18</f>
        <v/>
      </c>
      <c r="L109" t="str">
        <f>IF(ISBLANK(Lähtötiedot!$O$18),"",Lähtötiedot!$O$18)</f>
        <v/>
      </c>
      <c r="M109" t="str">
        <f>IF(ISBLANK(Lähtötiedot!$O$16),"",Lähtötiedot!$O$16)</f>
        <v/>
      </c>
      <c r="N109" s="73" t="str">
        <f>IF(ISBLANK(Lähtötiedot!$O$15),"",Lähtötiedot!$O$15)</f>
        <v/>
      </c>
      <c r="O109" s="73"/>
    </row>
    <row r="110" spans="1:15" x14ac:dyDescent="0.35">
      <c r="A110" t="str">
        <f>Kestävä_ja_kehittyvä!I10</f>
        <v>Ei kuulu</v>
      </c>
      <c r="B110" t="str">
        <f>Kestävä_ja_kehittyvä!P10</f>
        <v/>
      </c>
      <c r="C110" s="74" t="str">
        <f>Kestävä_ja_kehittyvä!A10</f>
        <v>2,3,4</v>
      </c>
      <c r="D110" t="str">
        <f>Kestävä_ja_kehittyvä!C10</f>
        <v>C</v>
      </c>
      <c r="E110" t="str">
        <f>IF(ISBLANK(Kestävä_ja_kehittyvä!K10),"_Otsikkorivi",Kestävä_ja_kehittyvä!K10)</f>
        <v>Kestävä ja kehittyvä</v>
      </c>
      <c r="F110" t="str">
        <f>Kestävä_ja_kehittyvä!L10</f>
        <v>9. Jätevesien käsittelyn ja johtamisen ympäristökuormitus minimoidaan</v>
      </c>
      <c r="G110" t="str">
        <f>IF(ISBLANK(Kestävä_ja_kehittyvä!R10),"Otsikkorivi",Kestävä_ja_kehittyvä!R10)</f>
        <v xml:space="preserve">9.5 Vesihuoltolaitoksen sekaviemäröinnin vähentämisestä on tehty suunnitelma ja sitä vähennetään vuosittain </v>
      </c>
      <c r="H110" t="str">
        <f>IF(Kestävä_ja_kehittyvä!N10="x","Kyllä","Ei")</f>
        <v>Kyllä</v>
      </c>
      <c r="I110" t="str">
        <f>IF(ISBLANK(Kestävä_ja_kehittyvä!S10),"",Kestävä_ja_kehittyvä!S10)</f>
        <v/>
      </c>
      <c r="J110">
        <f>LV!$B$10</f>
        <v>0</v>
      </c>
      <c r="K110" t="str">
        <f>LV!$I$18</f>
        <v/>
      </c>
      <c r="L110" t="str">
        <f>IF(ISBLANK(Lähtötiedot!$O$18),"",Lähtötiedot!$O$18)</f>
        <v/>
      </c>
      <c r="M110" t="str">
        <f>IF(ISBLANK(Lähtötiedot!$O$16),"",Lähtötiedot!$O$16)</f>
        <v/>
      </c>
      <c r="N110" s="73" t="str">
        <f>IF(ISBLANK(Lähtötiedot!$O$15),"",Lähtötiedot!$O$15)</f>
        <v/>
      </c>
      <c r="O110" s="73"/>
    </row>
    <row r="111" spans="1:15" x14ac:dyDescent="0.35">
      <c r="A111" t="str">
        <f>Kestävä_ja_kehittyvä!I11</f>
        <v>Ei kuulu</v>
      </c>
      <c r="B111" t="str">
        <f>Kestävä_ja_kehittyvä!P11</f>
        <v/>
      </c>
      <c r="C111" s="74">
        <f>Kestävä_ja_kehittyvä!A11</f>
        <v>3.4</v>
      </c>
      <c r="D111" t="str">
        <f>Kestävä_ja_kehittyvä!C11</f>
        <v>C</v>
      </c>
      <c r="E111" t="str">
        <f>IF(ISBLANK(Kestävä_ja_kehittyvä!K11),"_Otsikkorivi",Kestävä_ja_kehittyvä!K11)</f>
        <v>Kestävä ja kehittyvä</v>
      </c>
      <c r="F111" t="str">
        <f>Kestävä_ja_kehittyvä!L11</f>
        <v>9. Jätevesien käsittelyn ja johtamisen ympäristökuormitus minimoidaan</v>
      </c>
      <c r="G111" t="str">
        <f>IF(ISBLANK(Kestävä_ja_kehittyvä!R11),"Otsikkorivi",Kestävä_ja_kehittyvä!R11)</f>
        <v xml:space="preserve">9.6 Vesihuoltolaitoksen viemäriverkoston vuotoja mitataan ja seurataan ja vuotavuusprosentti on määritelty soveltuvin osin pumppaamo- ja verkostoalueittain.  </v>
      </c>
      <c r="H111" t="str">
        <f>IF(Kestävä_ja_kehittyvä!N11="x","Kyllä","Ei")</f>
        <v>Ei</v>
      </c>
      <c r="I111" t="str">
        <f>IF(ISBLANK(Kestävä_ja_kehittyvä!S11),"",Kestävä_ja_kehittyvä!S11)</f>
        <v/>
      </c>
      <c r="J111">
        <f>LV!$B$10</f>
        <v>0</v>
      </c>
      <c r="K111" t="str">
        <f>LV!$I$18</f>
        <v/>
      </c>
      <c r="L111" t="str">
        <f>IF(ISBLANK(Lähtötiedot!$O$18),"",Lähtötiedot!$O$18)</f>
        <v/>
      </c>
      <c r="M111" t="str">
        <f>IF(ISBLANK(Lähtötiedot!$O$16),"",Lähtötiedot!$O$16)</f>
        <v/>
      </c>
      <c r="N111" s="73" t="str">
        <f>IF(ISBLANK(Lähtötiedot!$O$15),"",Lähtötiedot!$O$15)</f>
        <v/>
      </c>
      <c r="O111" s="73"/>
    </row>
    <row r="112" spans="1:15" x14ac:dyDescent="0.35">
      <c r="A112" t="str">
        <f>Kestävä_ja_kehittyvä!I12</f>
        <v>Ei kuulu</v>
      </c>
      <c r="B112" t="str">
        <f>Kestävä_ja_kehittyvä!P12</f>
        <v/>
      </c>
      <c r="C112" s="74">
        <f>Kestävä_ja_kehittyvä!A12</f>
        <v>3.4</v>
      </c>
      <c r="D112" t="str">
        <f>Kestävä_ja_kehittyvä!C12</f>
        <v>C</v>
      </c>
      <c r="E112" t="str">
        <f>IF(ISBLANK(Kestävä_ja_kehittyvä!K12),"_Otsikkorivi",Kestävä_ja_kehittyvä!K12)</f>
        <v>Kestävä ja kehittyvä</v>
      </c>
      <c r="F112" t="str">
        <f>Kestävä_ja_kehittyvä!L12</f>
        <v>9. Jätevesien käsittelyn ja johtamisen ympäristökuormitus minimoidaan</v>
      </c>
      <c r="G112" t="str">
        <f>IF(ISBLANK(Kestävä_ja_kehittyvä!R12),"Otsikkorivi",Kestävä_ja_kehittyvä!R12)</f>
        <v>9.7 Vesihuoltolaitos on laatinut vuotovesien hallintasuunnitelman ja vuosittaisen investointisuunnitelman vuotovesien vähentämiseksi ja sitä toteutetaan.</v>
      </c>
      <c r="H112" t="str">
        <f>IF(Kestävä_ja_kehittyvä!N12="x","Kyllä","Ei")</f>
        <v>Ei</v>
      </c>
      <c r="I112" t="str">
        <f>IF(ISBLANK(Kestävä_ja_kehittyvä!S12),"",Kestävä_ja_kehittyvä!S12)</f>
        <v/>
      </c>
      <c r="J112">
        <f>LV!$B$10</f>
        <v>0</v>
      </c>
      <c r="K112" t="str">
        <f>LV!$I$18</f>
        <v/>
      </c>
      <c r="L112" t="str">
        <f>IF(ISBLANK(Lähtötiedot!$O$18),"",Lähtötiedot!$O$18)</f>
        <v/>
      </c>
      <c r="M112" t="str">
        <f>IF(ISBLANK(Lähtötiedot!$O$16),"",Lähtötiedot!$O$16)</f>
        <v/>
      </c>
      <c r="N112" s="73" t="str">
        <f>IF(ISBLANK(Lähtötiedot!$O$15),"",Lähtötiedot!$O$15)</f>
        <v/>
      </c>
      <c r="O112" s="73"/>
    </row>
    <row r="113" spans="1:15" x14ac:dyDescent="0.35">
      <c r="A113" t="str">
        <f>Kestävä_ja_kehittyvä!I13</f>
        <v>Ei kuulu</v>
      </c>
      <c r="B113" t="str">
        <f>Kestävä_ja_kehittyvä!P13</f>
        <v/>
      </c>
      <c r="C113" s="74">
        <f>Kestävä_ja_kehittyvä!A13</f>
        <v>3.4</v>
      </c>
      <c r="D113" t="str">
        <f>Kestävä_ja_kehittyvä!C13</f>
        <v>D</v>
      </c>
      <c r="E113" t="str">
        <f>IF(ISBLANK(Kestävä_ja_kehittyvä!K13),"_Otsikkorivi",Kestävä_ja_kehittyvä!K13)</f>
        <v>Kestävä ja kehittyvä</v>
      </c>
      <c r="F113" t="str">
        <f>Kestävä_ja_kehittyvä!L13</f>
        <v>9. Jätevesien käsittelyn ja johtamisen ympäristökuormitus minimoidaan</v>
      </c>
      <c r="G113" t="str">
        <f>IF(ISBLANK(Kestävä_ja_kehittyvä!R13),"Otsikkorivi",Kestävä_ja_kehittyvä!R13)</f>
        <v>9.8 Vesihuoltolaitos on liittynyt vesiensuojelusopimukseen (Green Deal), tavoitteena vapaaehtoisesti vähentää kuormitusta alle lupaehtojen.</v>
      </c>
      <c r="H113" t="str">
        <f>IF(Kestävä_ja_kehittyvä!N13="x","Kyllä","Ei")</f>
        <v>Ei</v>
      </c>
      <c r="I113" t="str">
        <f>IF(ISBLANK(Kestävä_ja_kehittyvä!S13),"",Kestävä_ja_kehittyvä!S13)</f>
        <v/>
      </c>
      <c r="J113">
        <f>LV!$B$10</f>
        <v>0</v>
      </c>
      <c r="K113" t="str">
        <f>LV!$I$18</f>
        <v/>
      </c>
      <c r="L113" t="str">
        <f>IF(ISBLANK(Lähtötiedot!$O$18),"",Lähtötiedot!$O$18)</f>
        <v/>
      </c>
      <c r="M113" t="str">
        <f>IF(ISBLANK(Lähtötiedot!$O$16),"",Lähtötiedot!$O$16)</f>
        <v/>
      </c>
      <c r="N113" s="73" t="str">
        <f>IF(ISBLANK(Lähtötiedot!$O$15),"",Lähtötiedot!$O$15)</f>
        <v/>
      </c>
      <c r="O113" s="73"/>
    </row>
    <row r="114" spans="1:15" hidden="1" x14ac:dyDescent="0.35">
      <c r="A114" t="str">
        <f>Kestävä_ja_kehittyvä!I14</f>
        <v>Ei kuulu</v>
      </c>
      <c r="B114" t="str">
        <f>Kestävä_ja_kehittyvä!P14</f>
        <v/>
      </c>
      <c r="C114" s="74" t="str">
        <f>Kestävä_ja_kehittyvä!A14</f>
        <v xml:space="preserve">1,2,3,4 </v>
      </c>
      <c r="D114" t="str">
        <f>Kestävä_ja_kehittyvä!C14</f>
        <v>A,B,C,D</v>
      </c>
      <c r="E114" t="str">
        <f>IF(ISBLANK(Kestävä_ja_kehittyvä!K14),"_Otsikkorivi",Kestävä_ja_kehittyvä!K14)</f>
        <v>Kestävä ja kehittyvä</v>
      </c>
      <c r="F114" t="str">
        <f>Kestävä_ja_kehittyvä!L14</f>
        <v>_Otsikkorivi</v>
      </c>
      <c r="G114" t="str">
        <f>IF(ISBLANK(Kestävä_ja_kehittyvä!R14),"Otsikkorivi",Kestävä_ja_kehittyvä!R14)</f>
        <v>10. Kestävä ja energiatehokas</v>
      </c>
      <c r="H114" t="str">
        <f>IF(Kestävä_ja_kehittyvä!N14="x","Kyllä","Ei")</f>
        <v>Ei</v>
      </c>
      <c r="I114" t="str">
        <f>IF(ISBLANK(Kestävä_ja_kehittyvä!S14),"",Kestävä_ja_kehittyvä!S14)</f>
        <v/>
      </c>
      <c r="J114">
        <f>LV!$B$10</f>
        <v>0</v>
      </c>
      <c r="K114" t="str">
        <f>LV!$I$18</f>
        <v/>
      </c>
      <c r="L114" t="str">
        <f>IF(ISBLANK(Lähtötiedot!$O$18),"",Lähtötiedot!$O$18)</f>
        <v/>
      </c>
      <c r="M114" t="str">
        <f>IF(ISBLANK(Lähtötiedot!$O$16),"",Lähtötiedot!$O$16)</f>
        <v/>
      </c>
      <c r="N114" s="73" t="str">
        <f>IF(ISBLANK(Lähtötiedot!$O$15),"",Lähtötiedot!$O$15)</f>
        <v/>
      </c>
      <c r="O114" s="73"/>
    </row>
    <row r="115" spans="1:15" x14ac:dyDescent="0.35">
      <c r="A115" t="str">
        <f>Kestävä_ja_kehittyvä!I15</f>
        <v>Ei kuulu</v>
      </c>
      <c r="B115" t="str">
        <f>Kestävä_ja_kehittyvä!P15</f>
        <v/>
      </c>
      <c r="C115" s="74">
        <f>Kestävä_ja_kehittyvä!A15</f>
        <v>1</v>
      </c>
      <c r="D115" t="str">
        <f>Kestävä_ja_kehittyvä!C15</f>
        <v>A,B,C,D</v>
      </c>
      <c r="E115" t="str">
        <f>IF(ISBLANK(Kestävä_ja_kehittyvä!K15),"_Otsikkorivi",Kestävä_ja_kehittyvä!K15)</f>
        <v>Kestävä ja kehittyvä</v>
      </c>
      <c r="F115" t="str">
        <f>Kestävä_ja_kehittyvä!L15</f>
        <v>10. Kestävä ja energiatehokas</v>
      </c>
      <c r="G115" t="str">
        <f>IF(ISBLANK(Kestävä_ja_kehittyvä!R15),"Otsikkorivi",Kestävä_ja_kehittyvä!R15)</f>
        <v xml:space="preserve">10.1 Vesihuoltolaitoksen energiankulutusta seurataan ja siihen kiinnitetään huomiota </v>
      </c>
      <c r="H115" t="str">
        <f>IF(Kestävä_ja_kehittyvä!N15="x","Kyllä","Ei")</f>
        <v>Ei</v>
      </c>
      <c r="I115" t="str">
        <f>IF(ISBLANK(Kestävä_ja_kehittyvä!S15),"",Kestävä_ja_kehittyvä!S15)</f>
        <v/>
      </c>
      <c r="J115">
        <f>LV!$B$10</f>
        <v>0</v>
      </c>
      <c r="K115" t="str">
        <f>LV!$I$18</f>
        <v/>
      </c>
      <c r="L115" t="str">
        <f>IF(ISBLANK(Lähtötiedot!$O$18),"",Lähtötiedot!$O$18)</f>
        <v/>
      </c>
      <c r="M115" t="str">
        <f>IF(ISBLANK(Lähtötiedot!$O$16),"",Lähtötiedot!$O$16)</f>
        <v/>
      </c>
      <c r="N115" s="73" t="str">
        <f>IF(ISBLANK(Lähtötiedot!$O$15),"",Lähtötiedot!$O$15)</f>
        <v/>
      </c>
      <c r="O115" s="73"/>
    </row>
    <row r="116" spans="1:15" x14ac:dyDescent="0.35">
      <c r="A116" t="str">
        <f>Kestävä_ja_kehittyvä!I16</f>
        <v>Ei kuulu</v>
      </c>
      <c r="B116" t="str">
        <f>Kestävä_ja_kehittyvä!P16</f>
        <v/>
      </c>
      <c r="C116" s="74" t="str">
        <f>Kestävä_ja_kehittyvä!A16</f>
        <v>2,3,4</v>
      </c>
      <c r="D116" t="str">
        <f>Kestävä_ja_kehittyvä!C16</f>
        <v>A,B,C,D</v>
      </c>
      <c r="E116" t="str">
        <f>IF(ISBLANK(Kestävä_ja_kehittyvä!K16),"_Otsikkorivi",Kestävä_ja_kehittyvä!K16)</f>
        <v>Kestävä ja kehittyvä</v>
      </c>
      <c r="F116" t="str">
        <f>Kestävä_ja_kehittyvä!L16</f>
        <v>10. Kestävä ja energiatehokas</v>
      </c>
      <c r="G116" t="str">
        <f>IF(ISBLANK(Kestävä_ja_kehittyvä!R16),"Otsikkorivi",Kestävä_ja_kehittyvä!R16)</f>
        <v>10.1 Vesihuoltolaitoksen energiankulutusta mitataan ja seura-taan vesihuoltolaitoksella osa-alueittain (esim. pumppaukset tai muut merkittävimmät energiankulutuskohteet).</v>
      </c>
      <c r="H116" t="str">
        <f>IF(Kestävä_ja_kehittyvä!N16="x","Kyllä","Ei")</f>
        <v>Ei</v>
      </c>
      <c r="I116" t="str">
        <f>IF(ISBLANK(Kestävä_ja_kehittyvä!S16),"",Kestävä_ja_kehittyvä!S16)</f>
        <v/>
      </c>
      <c r="J116">
        <f>LV!$B$10</f>
        <v>0</v>
      </c>
      <c r="K116" t="str">
        <f>LV!$I$18</f>
        <v/>
      </c>
      <c r="L116" t="str">
        <f>IF(ISBLANK(Lähtötiedot!$O$18),"",Lähtötiedot!$O$18)</f>
        <v/>
      </c>
      <c r="M116" t="str">
        <f>IF(ISBLANK(Lähtötiedot!$O$16),"",Lähtötiedot!$O$16)</f>
        <v/>
      </c>
      <c r="N116" s="73" t="str">
        <f>IF(ISBLANK(Lähtötiedot!$O$15),"",Lähtötiedot!$O$15)</f>
        <v/>
      </c>
      <c r="O116" s="73"/>
    </row>
    <row r="117" spans="1:15" x14ac:dyDescent="0.35">
      <c r="A117" t="str">
        <f>Kestävä_ja_kehittyvä!I17</f>
        <v>Ei kuulu</v>
      </c>
      <c r="B117" t="str">
        <f>Kestävä_ja_kehittyvä!P17</f>
        <v/>
      </c>
      <c r="C117" s="74" t="str">
        <f>Kestävä_ja_kehittyvä!A17</f>
        <v>1,2,3,4</v>
      </c>
      <c r="D117" t="str">
        <f>Kestävä_ja_kehittyvä!C17</f>
        <v>A,B,C,D</v>
      </c>
      <c r="E117" t="str">
        <f>IF(ISBLANK(Kestävä_ja_kehittyvä!K17),"_Otsikkorivi",Kestävä_ja_kehittyvä!K17)</f>
        <v>Kestävä ja kehittyvä</v>
      </c>
      <c r="F117" t="str">
        <f>Kestävä_ja_kehittyvä!L17</f>
        <v>10. Kestävä ja energiatehokas</v>
      </c>
      <c r="G117" t="str">
        <f>IF(ISBLANK(Kestävä_ja_kehittyvä!R17),"Otsikkorivi",Kestävä_ja_kehittyvä!R17)</f>
        <v>10.2 Vesihuoltolaitos tekee systemaattista riskinarviointia ja riskienhallintaa työturvallisuuden osalta sisältäen mm. kemiallisten ja biologisten vaarojen arvioinnin.</v>
      </c>
      <c r="H117" t="str">
        <f>IF(Kestävä_ja_kehittyvä!N17="x","Kyllä","Ei")</f>
        <v>Ei</v>
      </c>
      <c r="I117" t="str">
        <f>IF(ISBLANK(Kestävä_ja_kehittyvä!S17),"",Kestävä_ja_kehittyvä!S17)</f>
        <v/>
      </c>
      <c r="J117">
        <f>LV!$B$10</f>
        <v>0</v>
      </c>
      <c r="K117" t="str">
        <f>LV!$I$18</f>
        <v/>
      </c>
      <c r="L117" t="str">
        <f>IF(ISBLANK(Lähtötiedot!$O$18),"",Lähtötiedot!$O$18)</f>
        <v/>
      </c>
      <c r="M117" t="str">
        <f>IF(ISBLANK(Lähtötiedot!$O$16),"",Lähtötiedot!$O$16)</f>
        <v/>
      </c>
      <c r="N117" s="73" t="str">
        <f>IF(ISBLANK(Lähtötiedot!$O$15),"",Lähtötiedot!$O$15)</f>
        <v/>
      </c>
      <c r="O117" s="73"/>
    </row>
    <row r="118" spans="1:15" x14ac:dyDescent="0.35">
      <c r="A118" t="str">
        <f>Kestävä_ja_kehittyvä!I18</f>
        <v>Ei kuulu</v>
      </c>
      <c r="B118" t="str">
        <f>Kestävä_ja_kehittyvä!P18</f>
        <v/>
      </c>
      <c r="C118" s="74" t="str">
        <f>Kestävä_ja_kehittyvä!A18</f>
        <v>2,3,4</v>
      </c>
      <c r="D118" t="str">
        <f>Kestävä_ja_kehittyvä!C18</f>
        <v>C</v>
      </c>
      <c r="E118" t="str">
        <f>IF(ISBLANK(Kestävä_ja_kehittyvä!K18),"_Otsikkorivi",Kestävä_ja_kehittyvä!K18)</f>
        <v>Kestävä ja kehittyvä</v>
      </c>
      <c r="F118" t="str">
        <f>Kestävä_ja_kehittyvä!L18</f>
        <v>10. Kestävä ja energiatehokas</v>
      </c>
      <c r="G118" t="str">
        <f>IF(ISBLANK(Kestävä_ja_kehittyvä!R18),"Otsikkorivi",Kestävä_ja_kehittyvä!R18)</f>
        <v xml:space="preserve">10.3 Vesihuoltolaitoksen toiminta-alueen asukkaille on kohdistettu neuvontaa luvattomien viemäriliitosten poistamiseksi (esimerkiksi huleveden ja/tai perustusten kuivatusveden johtaminen jätevesiviemäriin ilman lupaa). </v>
      </c>
      <c r="H118" t="str">
        <f>IF(Kestävä_ja_kehittyvä!N18="x","Kyllä","Ei")</f>
        <v>Ei</v>
      </c>
      <c r="I118" t="str">
        <f>IF(ISBLANK(Kestävä_ja_kehittyvä!S18),"",Kestävä_ja_kehittyvä!S18)</f>
        <v/>
      </c>
      <c r="J118">
        <f>LV!$B$10</f>
        <v>0</v>
      </c>
      <c r="K118" t="str">
        <f>LV!$I$18</f>
        <v/>
      </c>
      <c r="L118" t="str">
        <f>IF(ISBLANK(Lähtötiedot!$O$18),"",Lähtötiedot!$O$18)</f>
        <v/>
      </c>
      <c r="M118" t="str">
        <f>IF(ISBLANK(Lähtötiedot!$O$16),"",Lähtötiedot!$O$16)</f>
        <v/>
      </c>
      <c r="N118" s="73" t="str">
        <f>IF(ISBLANK(Lähtötiedot!$O$15),"",Lähtötiedot!$O$15)</f>
        <v/>
      </c>
      <c r="O118" s="73"/>
    </row>
    <row r="119" spans="1:15" x14ac:dyDescent="0.35">
      <c r="A119" t="str">
        <f>Kestävä_ja_kehittyvä!I19</f>
        <v>Ei kuulu</v>
      </c>
      <c r="B119" t="str">
        <f>Kestävä_ja_kehittyvä!P19</f>
        <v/>
      </c>
      <c r="C119" s="74" t="str">
        <f>Kestävä_ja_kehittyvä!A19</f>
        <v>2,3,4</v>
      </c>
      <c r="D119" t="str">
        <f>Kestävä_ja_kehittyvä!C19</f>
        <v>C</v>
      </c>
      <c r="E119" t="str">
        <f>IF(ISBLANK(Kestävä_ja_kehittyvä!K19),"_Otsikkorivi",Kestävä_ja_kehittyvä!K19)</f>
        <v>Kestävä ja kehittyvä</v>
      </c>
      <c r="F119" t="str">
        <f>Kestävä_ja_kehittyvä!L19</f>
        <v>10. Kestävä ja energiatehokas</v>
      </c>
      <c r="G119" t="str">
        <f>IF(ISBLANK(Kestävä_ja_kehittyvä!R19),"Otsikkorivi",Kestävä_ja_kehittyvä!R19)</f>
        <v>10.4 Taloudelliset ohjauskeinot luvattomien viemäriliitosten poistamiseksi ovat aidosti käytössä eli korotettuja maksuja peritään tarvittaessa.</v>
      </c>
      <c r="H119" t="str">
        <f>IF(Kestävä_ja_kehittyvä!N19="x","Kyllä","Ei")</f>
        <v>Ei</v>
      </c>
      <c r="I119" t="str">
        <f>IF(ISBLANK(Kestävä_ja_kehittyvä!S19),"",Kestävä_ja_kehittyvä!S19)</f>
        <v/>
      </c>
      <c r="J119">
        <f>LV!$B$10</f>
        <v>0</v>
      </c>
      <c r="K119" t="str">
        <f>LV!$I$18</f>
        <v/>
      </c>
      <c r="L119" t="str">
        <f>IF(ISBLANK(Lähtötiedot!$O$18),"",Lähtötiedot!$O$18)</f>
        <v/>
      </c>
      <c r="M119" t="str">
        <f>IF(ISBLANK(Lähtötiedot!$O$16),"",Lähtötiedot!$O$16)</f>
        <v/>
      </c>
      <c r="N119" s="73" t="str">
        <f>IF(ISBLANK(Lähtötiedot!$O$15),"",Lähtötiedot!$O$15)</f>
        <v/>
      </c>
      <c r="O119" s="73"/>
    </row>
    <row r="120" spans="1:15" x14ac:dyDescent="0.35">
      <c r="A120" t="str">
        <f>Kestävä_ja_kehittyvä!I20</f>
        <v>Ei kuulu</v>
      </c>
      <c r="B120" t="str">
        <f>Kestävä_ja_kehittyvä!P20</f>
        <v/>
      </c>
      <c r="C120" s="74">
        <f>Kestävä_ja_kehittyvä!A20</f>
        <v>3.4</v>
      </c>
      <c r="D120" t="str">
        <f>Kestävä_ja_kehittyvä!C20</f>
        <v>A,B,C,D</v>
      </c>
      <c r="E120" t="str">
        <f>IF(ISBLANK(Kestävä_ja_kehittyvä!K20),"_Otsikkorivi",Kestävä_ja_kehittyvä!K20)</f>
        <v>Kestävä ja kehittyvä</v>
      </c>
      <c r="F120" t="str">
        <f>Kestävä_ja_kehittyvä!L20</f>
        <v>10. Kestävä ja energiatehokas</v>
      </c>
      <c r="G120" t="str">
        <f>IF(ISBLANK(Kestävä_ja_kehittyvä!R20),"Otsikkorivi",Kestävä_ja_kehittyvä!R20)</f>
        <v>10.5 Vesihuoltolaitos laatii ja julkaisee ympäristötilinpäätöksen vuosittain.</v>
      </c>
      <c r="H120" t="str">
        <f>IF(Kestävä_ja_kehittyvä!N20="x","Kyllä","Ei")</f>
        <v>Ei</v>
      </c>
      <c r="I120" t="str">
        <f>IF(ISBLANK(Kestävä_ja_kehittyvä!S20),"",Kestävä_ja_kehittyvä!S20)</f>
        <v/>
      </c>
      <c r="J120">
        <f>LV!$B$10</f>
        <v>0</v>
      </c>
      <c r="K120" t="str">
        <f>LV!$I$18</f>
        <v/>
      </c>
      <c r="L120" t="str">
        <f>IF(ISBLANK(Lähtötiedot!$O$18),"",Lähtötiedot!$O$18)</f>
        <v/>
      </c>
      <c r="M120" t="str">
        <f>IF(ISBLANK(Lähtötiedot!$O$16),"",Lähtötiedot!$O$16)</f>
        <v/>
      </c>
      <c r="N120" s="73" t="str">
        <f>IF(ISBLANK(Lähtötiedot!$O$15),"",Lähtötiedot!$O$15)</f>
        <v/>
      </c>
      <c r="O120" s="73"/>
    </row>
    <row r="121" spans="1:15" x14ac:dyDescent="0.35">
      <c r="A121" t="str">
        <f>Kestävä_ja_kehittyvä!I21</f>
        <v>Ei kuulu</v>
      </c>
      <c r="B121" t="str">
        <f>Kestävä_ja_kehittyvä!P21</f>
        <v/>
      </c>
      <c r="C121" s="74">
        <f>Kestävä_ja_kehittyvä!A21</f>
        <v>3.4</v>
      </c>
      <c r="D121" t="str">
        <f>Kestävä_ja_kehittyvä!C21</f>
        <v>A,B,C,D</v>
      </c>
      <c r="E121" t="str">
        <f>IF(ISBLANK(Kestävä_ja_kehittyvä!K21),"_Otsikkorivi",Kestävä_ja_kehittyvä!K21)</f>
        <v>Kestävä ja kehittyvä</v>
      </c>
      <c r="F121" t="str">
        <f>Kestävä_ja_kehittyvä!L21</f>
        <v>10. Kestävä ja energiatehokas</v>
      </c>
      <c r="G121" t="str">
        <f>IF(ISBLANK(Kestävä_ja_kehittyvä!R21),"Otsikkorivi",Kestävä_ja_kehittyvä!R21)</f>
        <v>10.6 Vesihuoltolaitoksen hiilijalanjälki on laskettu ja tuloksia käytetään toiminnan ohjauksessa.</v>
      </c>
      <c r="H121" t="str">
        <f>IF(Kestävä_ja_kehittyvä!N21="x","Kyllä","Ei")</f>
        <v>Ei</v>
      </c>
      <c r="I121" t="str">
        <f>IF(ISBLANK(Kestävä_ja_kehittyvä!S21),"",Kestävä_ja_kehittyvä!S21)</f>
        <v/>
      </c>
      <c r="J121">
        <f>LV!$B$10</f>
        <v>0</v>
      </c>
      <c r="K121" t="str">
        <f>LV!$I$18</f>
        <v/>
      </c>
      <c r="L121" t="str">
        <f>IF(ISBLANK(Lähtötiedot!$O$18),"",Lähtötiedot!$O$18)</f>
        <v/>
      </c>
      <c r="M121" t="str">
        <f>IF(ISBLANK(Lähtötiedot!$O$16),"",Lähtötiedot!$O$16)</f>
        <v/>
      </c>
      <c r="N121" s="73" t="str">
        <f>IF(ISBLANK(Lähtötiedot!$O$15),"",Lähtötiedot!$O$15)</f>
        <v/>
      </c>
      <c r="O121" s="73"/>
    </row>
    <row r="122" spans="1:15" x14ac:dyDescent="0.35">
      <c r="A122" t="str">
        <f>Kestävä_ja_kehittyvä!I22</f>
        <v>Ei kuulu</v>
      </c>
      <c r="B122" t="str">
        <f>Kestävä_ja_kehittyvä!P22</f>
        <v/>
      </c>
      <c r="C122" s="74">
        <f>Kestävä_ja_kehittyvä!A22</f>
        <v>3.4</v>
      </c>
      <c r="D122" t="str">
        <f>Kestävä_ja_kehittyvä!C22</f>
        <v>A,B,C,D</v>
      </c>
      <c r="E122" t="str">
        <f>IF(ISBLANK(Kestävä_ja_kehittyvä!K22),"_Otsikkorivi",Kestävä_ja_kehittyvä!K22)</f>
        <v>Kestävä ja kehittyvä</v>
      </c>
      <c r="F122" t="str">
        <f>Kestävä_ja_kehittyvä!L22</f>
        <v>10. Kestävä ja energiatehokas</v>
      </c>
      <c r="G122" t="str">
        <f>IF(ISBLANK(Kestävä_ja_kehittyvä!R22),"Otsikkorivi",Kestävä_ja_kehittyvä!R22)</f>
        <v>10.7 Vesihuoltolaitoksen energiankulutus on analysoitu, toimenpideohjelma energiatehokkuuden parantamiseksi laadittu ja sitä toteutetaan.</v>
      </c>
      <c r="H122" t="str">
        <f>IF(Kestävä_ja_kehittyvä!N22="x","Kyllä","Ei")</f>
        <v>Ei</v>
      </c>
      <c r="I122" t="str">
        <f>IF(ISBLANK(Kestävä_ja_kehittyvä!S22),"",Kestävä_ja_kehittyvä!S22)</f>
        <v/>
      </c>
      <c r="J122">
        <f>LV!$B$10</f>
        <v>0</v>
      </c>
      <c r="K122" t="str">
        <f>LV!$I$18</f>
        <v/>
      </c>
      <c r="L122" t="str">
        <f>IF(ISBLANK(Lähtötiedot!$O$18),"",Lähtötiedot!$O$18)</f>
        <v/>
      </c>
      <c r="M122" t="str">
        <f>IF(ISBLANK(Lähtötiedot!$O$16),"",Lähtötiedot!$O$16)</f>
        <v/>
      </c>
      <c r="N122" s="73" t="str">
        <f>IF(ISBLANK(Lähtötiedot!$O$15),"",Lähtötiedot!$O$15)</f>
        <v/>
      </c>
      <c r="O122" s="73"/>
    </row>
    <row r="123" spans="1:15" x14ac:dyDescent="0.35">
      <c r="A123" t="str">
        <f>Kestävä_ja_kehittyvä!I23</f>
        <v>Ei kuulu</v>
      </c>
      <c r="B123" t="str">
        <f>Kestävä_ja_kehittyvä!P23</f>
        <v/>
      </c>
      <c r="C123" s="74">
        <f>Kestävä_ja_kehittyvä!A23</f>
        <v>4</v>
      </c>
      <c r="D123" t="str">
        <f>Kestävä_ja_kehittyvä!C23</f>
        <v>D</v>
      </c>
      <c r="E123" t="str">
        <f>IF(ISBLANK(Kestävä_ja_kehittyvä!K23),"_Otsikkorivi",Kestävä_ja_kehittyvä!K23)</f>
        <v>Kestävä ja kehittyvä</v>
      </c>
      <c r="F123" t="str">
        <f>Kestävä_ja_kehittyvä!L23</f>
        <v>10. Kestävä ja energiatehokas</v>
      </c>
      <c r="G123" t="str">
        <f>IF(ISBLANK(Kestävä_ja_kehittyvä!R23),"Otsikkorivi",Kestävä_ja_kehittyvä!R23)</f>
        <v xml:space="preserve">10.8 Jätevedenpuhdistamolla hyödynnetään hukkalämpöä. </v>
      </c>
      <c r="H123" t="str">
        <f>IF(Kestävä_ja_kehittyvä!N23="x","Kyllä","Ei")</f>
        <v>Ei</v>
      </c>
      <c r="I123" t="str">
        <f>IF(ISBLANK(Kestävä_ja_kehittyvä!S23),"",Kestävä_ja_kehittyvä!S23)</f>
        <v/>
      </c>
      <c r="J123">
        <f>LV!$B$10</f>
        <v>0</v>
      </c>
      <c r="K123" t="str">
        <f>LV!$I$18</f>
        <v/>
      </c>
      <c r="L123" t="str">
        <f>IF(ISBLANK(Lähtötiedot!$O$18),"",Lähtötiedot!$O$18)</f>
        <v/>
      </c>
      <c r="M123" t="str">
        <f>IF(ISBLANK(Lähtötiedot!$O$16),"",Lähtötiedot!$O$16)</f>
        <v/>
      </c>
      <c r="N123" s="73" t="str">
        <f>IF(ISBLANK(Lähtötiedot!$O$15),"",Lähtötiedot!$O$15)</f>
        <v/>
      </c>
      <c r="O123" s="73"/>
    </row>
    <row r="124" spans="1:15" x14ac:dyDescent="0.35">
      <c r="A124" t="str">
        <f>Kestävä_ja_kehittyvä!I24</f>
        <v>Ei kuulu</v>
      </c>
      <c r="B124" t="str">
        <f>Kestävä_ja_kehittyvä!P24</f>
        <v/>
      </c>
      <c r="C124" s="74">
        <f>Kestävä_ja_kehittyvä!A24</f>
        <v>5</v>
      </c>
      <c r="D124" t="str">
        <f>Kestävä_ja_kehittyvä!C24</f>
        <v>A,B,C,D</v>
      </c>
      <c r="E124" t="str">
        <f>IF(ISBLANK(Kestävä_ja_kehittyvä!K24),"_Otsikkorivi",Kestävä_ja_kehittyvä!K24)</f>
        <v>Kestävä ja kehittyvä</v>
      </c>
      <c r="F124" t="str">
        <f>Kestävä_ja_kehittyvä!L24</f>
        <v>10. Kestävä ja energiatehokas</v>
      </c>
      <c r="G124" t="str">
        <f>IF(ISBLANK(Kestävä_ja_kehittyvä!R24),"Otsikkorivi",Kestävä_ja_kehittyvä!R24)</f>
        <v>10.9 Vesilaitoksen toiminnassa on järjestelmällisesti otettu huomioon ympäristö-, talous- ja sosiaalinen vastuu.</v>
      </c>
      <c r="H124" t="str">
        <f>IF(Kestävä_ja_kehittyvä!N24="x","Kyllä","Ei")</f>
        <v>Ei</v>
      </c>
      <c r="I124" t="str">
        <f>IF(ISBLANK(Kestävä_ja_kehittyvä!S24),"",Kestävä_ja_kehittyvä!S24)</f>
        <v/>
      </c>
      <c r="J124">
        <f>LV!$B$10</f>
        <v>0</v>
      </c>
      <c r="K124" t="str">
        <f>LV!$I$18</f>
        <v/>
      </c>
      <c r="L124" t="str">
        <f>IF(ISBLANK(Lähtötiedot!$O$18),"",Lähtötiedot!$O$18)</f>
        <v/>
      </c>
      <c r="M124" t="str">
        <f>IF(ISBLANK(Lähtötiedot!$O$16),"",Lähtötiedot!$O$16)</f>
        <v/>
      </c>
      <c r="N124" s="73" t="str">
        <f>IF(ISBLANK(Lähtötiedot!$O$15),"",Lähtötiedot!$O$15)</f>
        <v/>
      </c>
      <c r="O124" s="73"/>
    </row>
    <row r="125" spans="1:15" x14ac:dyDescent="0.35">
      <c r="A125" t="str">
        <f>Kestävä_ja_kehittyvä!I25</f>
        <v>Ei kuulu</v>
      </c>
      <c r="B125" t="str">
        <f>Kestävä_ja_kehittyvä!P25</f>
        <v/>
      </c>
      <c r="C125" s="74">
        <f>Kestävä_ja_kehittyvä!A25</f>
        <v>5</v>
      </c>
      <c r="D125" t="str">
        <f>Kestävä_ja_kehittyvä!C25</f>
        <v>A,B,C,D</v>
      </c>
      <c r="E125" t="str">
        <f>IF(ISBLANK(Kestävä_ja_kehittyvä!K25),"_Otsikkorivi",Kestävä_ja_kehittyvä!K25)</f>
        <v>Kestävä ja kehittyvä</v>
      </c>
      <c r="F125" t="str">
        <f>Kestävä_ja_kehittyvä!L25</f>
        <v>10. Kestävä ja energiatehokas</v>
      </c>
      <c r="G125" t="str">
        <f>IF(ISBLANK(Kestävä_ja_kehittyvä!R25),"Otsikkorivi",Kestävä_ja_kehittyvä!R25)</f>
        <v>10.10 Vesihuoltolaitoksen energiantuottopotentiaali on kartoitettu ja laitoksella on tavoitearvo energiaomavaraisuudelle.</v>
      </c>
      <c r="H125" t="str">
        <f>IF(Kestävä_ja_kehittyvä!N25="x","Kyllä","Ei")</f>
        <v>Ei</v>
      </c>
      <c r="I125" t="str">
        <f>IF(ISBLANK(Kestävä_ja_kehittyvä!S25),"",Kestävä_ja_kehittyvä!S25)</f>
        <v/>
      </c>
      <c r="J125">
        <f>LV!$B$10</f>
        <v>0</v>
      </c>
      <c r="K125" t="str">
        <f>LV!$I$18</f>
        <v/>
      </c>
      <c r="L125" t="str">
        <f>IF(ISBLANK(Lähtötiedot!$O$18),"",Lähtötiedot!$O$18)</f>
        <v/>
      </c>
      <c r="M125" t="str">
        <f>IF(ISBLANK(Lähtötiedot!$O$16),"",Lähtötiedot!$O$16)</f>
        <v/>
      </c>
      <c r="N125" s="73" t="str">
        <f>IF(ISBLANK(Lähtötiedot!$O$15),"",Lähtötiedot!$O$15)</f>
        <v/>
      </c>
      <c r="O125" s="73"/>
    </row>
    <row r="126" spans="1:15" x14ac:dyDescent="0.35">
      <c r="A126" t="str">
        <f>Kestävä_ja_kehittyvä!I26</f>
        <v>Ei kuulu</v>
      </c>
      <c r="B126" t="str">
        <f>Kestävä_ja_kehittyvä!P26</f>
        <v/>
      </c>
      <c r="C126" s="74">
        <f>Kestävä_ja_kehittyvä!A26</f>
        <v>5</v>
      </c>
      <c r="D126" t="str">
        <f>Kestävä_ja_kehittyvä!C26</f>
        <v>A,B,C,D</v>
      </c>
      <c r="E126" t="str">
        <f>IF(ISBLANK(Kestävä_ja_kehittyvä!K26),"_Otsikkorivi",Kestävä_ja_kehittyvä!K26)</f>
        <v>Kestävä ja kehittyvä</v>
      </c>
      <c r="F126" t="str">
        <f>Kestävä_ja_kehittyvä!L26</f>
        <v>10. Kestävä ja energiatehokas</v>
      </c>
      <c r="G126" t="str">
        <f>IF(ISBLANK(Kestävä_ja_kehittyvä!R26),"Otsikkorivi",Kestävä_ja_kehittyvä!R26)</f>
        <v xml:space="preserve">10.12 Hiilineutraalisuudelle on asetettu tavoite ja toimenpidesuunnitelma sen saavuttamiseksi </v>
      </c>
      <c r="H126" t="str">
        <f>IF(Kestävä_ja_kehittyvä!N26="x","Kyllä","Ei")</f>
        <v>Ei</v>
      </c>
      <c r="I126" t="str">
        <f>IF(ISBLANK(Kestävä_ja_kehittyvä!S26),"",Kestävä_ja_kehittyvä!S26)</f>
        <v/>
      </c>
      <c r="J126">
        <f>LV!$B$10</f>
        <v>0</v>
      </c>
      <c r="K126" t="str">
        <f>LV!$I$18</f>
        <v/>
      </c>
      <c r="L126" t="str">
        <f>IF(ISBLANK(Lähtötiedot!$O$18),"",Lähtötiedot!$O$18)</f>
        <v/>
      </c>
      <c r="M126" t="str">
        <f>IF(ISBLANK(Lähtötiedot!$O$16),"",Lähtötiedot!$O$16)</f>
        <v/>
      </c>
      <c r="N126" s="73" t="str">
        <f>IF(ISBLANK(Lähtötiedot!$O$15),"",Lähtötiedot!$O$15)</f>
        <v/>
      </c>
      <c r="O126" s="73"/>
    </row>
    <row r="127" spans="1:15" hidden="1" x14ac:dyDescent="0.35">
      <c r="A127" t="str">
        <f>Kestävä_ja_kehittyvä!I27</f>
        <v>Ei kuulu</v>
      </c>
      <c r="B127" t="str">
        <f>Kestävä_ja_kehittyvä!P27</f>
        <v/>
      </c>
      <c r="C127" s="74" t="str">
        <f>Kestävä_ja_kehittyvä!A27</f>
        <v xml:space="preserve">1,2,3,4 </v>
      </c>
      <c r="D127" t="str">
        <f>Kestävä_ja_kehittyvä!C27</f>
        <v>A,B,C,D</v>
      </c>
      <c r="E127" t="str">
        <f>IF(ISBLANK(Kestävä_ja_kehittyvä!K27),"_Otsikkorivi",Kestävä_ja_kehittyvä!K27)</f>
        <v>Kestävä ja kehittyvä</v>
      </c>
      <c r="F127" t="str">
        <f>Kestävä_ja_kehittyvä!L27</f>
        <v>_Otsikkorivi</v>
      </c>
      <c r="G127" t="str">
        <f>IF(ISBLANK(Kestävä_ja_kehittyvä!R27),"Otsikkorivi",Kestävä_ja_kehittyvä!R27)</f>
        <v>11. Asiakaspalvelu ja viestintä on suunniteltua ja läpinäkyvää</v>
      </c>
      <c r="H127" t="str">
        <f>IF(Kestävä_ja_kehittyvä!N27="x","Kyllä","Ei")</f>
        <v>Ei</v>
      </c>
      <c r="I127" t="str">
        <f>IF(ISBLANK(Kestävä_ja_kehittyvä!S27),"",Kestävä_ja_kehittyvä!S27)</f>
        <v/>
      </c>
      <c r="J127">
        <f>LV!$B$10</f>
        <v>0</v>
      </c>
      <c r="K127" t="str">
        <f>LV!$I$18</f>
        <v/>
      </c>
      <c r="L127" t="str">
        <f>IF(ISBLANK(Lähtötiedot!$O$18),"",Lähtötiedot!$O$18)</f>
        <v/>
      </c>
      <c r="M127" t="str">
        <f>IF(ISBLANK(Lähtötiedot!$O$16),"",Lähtötiedot!$O$16)</f>
        <v/>
      </c>
      <c r="N127" s="73" t="str">
        <f>IF(ISBLANK(Lähtötiedot!$O$15),"",Lähtötiedot!$O$15)</f>
        <v/>
      </c>
      <c r="O127" s="73"/>
    </row>
    <row r="128" spans="1:15" x14ac:dyDescent="0.35">
      <c r="A128" t="str">
        <f>Kestävä_ja_kehittyvä!I28</f>
        <v>Ei kuulu</v>
      </c>
      <c r="B128" t="str">
        <f>Kestävä_ja_kehittyvä!P28</f>
        <v/>
      </c>
      <c r="C128" s="74" t="str">
        <f>Kestävä_ja_kehittyvä!A28</f>
        <v>1,2,3,4</v>
      </c>
      <c r="D128" t="str">
        <f>Kestävä_ja_kehittyvä!C28</f>
        <v>B,C</v>
      </c>
      <c r="E128" t="str">
        <f>IF(ISBLANK(Kestävä_ja_kehittyvä!K28),"_Otsikkorivi",Kestävä_ja_kehittyvä!K28)</f>
        <v>Kestävä ja kehittyvä</v>
      </c>
      <c r="F128" t="str">
        <f>Kestävä_ja_kehittyvä!L28</f>
        <v>11. Asiakaspalvelu ja viestintä on suunniteltua ja läpinäkyvää</v>
      </c>
      <c r="G128" t="str">
        <f>IF(ISBLANK(Kestävä_ja_kehittyvä!R28),"Otsikkorivi",Kestävä_ja_kehittyvä!R28)</f>
        <v>11.1 Säännöllinen asiakasviestintä esim. www-sivuilla, laskun/mittarilukemakortin yhteydessä tai asiakaslehdellä</v>
      </c>
      <c r="H128" t="str">
        <f>IF(Kestävä_ja_kehittyvä!N28="x","Kyllä","Ei")</f>
        <v>Ei</v>
      </c>
      <c r="I128" t="str">
        <f>IF(ISBLANK(Kestävä_ja_kehittyvä!S28),"",Kestävä_ja_kehittyvä!S28)</f>
        <v/>
      </c>
      <c r="J128">
        <f>LV!$B$10</f>
        <v>0</v>
      </c>
      <c r="K128" t="str">
        <f>LV!$I$18</f>
        <v/>
      </c>
      <c r="L128" t="str">
        <f>IF(ISBLANK(Lähtötiedot!$O$18),"",Lähtötiedot!$O$18)</f>
        <v/>
      </c>
      <c r="M128" t="str">
        <f>IF(ISBLANK(Lähtötiedot!$O$16),"",Lähtötiedot!$O$16)</f>
        <v/>
      </c>
      <c r="N128" s="73" t="str">
        <f>IF(ISBLANK(Lähtötiedot!$O$15),"",Lähtötiedot!$O$15)</f>
        <v/>
      </c>
      <c r="O128" s="73"/>
    </row>
    <row r="129" spans="1:15" x14ac:dyDescent="0.35">
      <c r="A129" t="str">
        <f>Kestävä_ja_kehittyvä!I29</f>
        <v>Ei kuulu</v>
      </c>
      <c r="B129" t="str">
        <f>Kestävä_ja_kehittyvä!P29</f>
        <v/>
      </c>
      <c r="C129" s="74" t="str">
        <f>Kestävä_ja_kehittyvä!A29</f>
        <v>1,2,3,4</v>
      </c>
      <c r="D129" t="str">
        <f>Kestävä_ja_kehittyvä!C29</f>
        <v>A,B,C,D</v>
      </c>
      <c r="E129" t="str">
        <f>IF(ISBLANK(Kestävä_ja_kehittyvä!K29),"_Otsikkorivi",Kestävä_ja_kehittyvä!K29)</f>
        <v>Kestävä ja kehittyvä</v>
      </c>
      <c r="F129" t="str">
        <f>Kestävä_ja_kehittyvä!L29</f>
        <v>11. Asiakaspalvelu ja viestintä on suunniteltua ja läpinäkyvää</v>
      </c>
      <c r="G129" t="str">
        <f>IF(ISBLANK(Kestävä_ja_kehittyvä!R29),"Otsikkorivi",Kestävä_ja_kehittyvä!R29)</f>
        <v>11.2 Toimintakertomus ja tilinpäätös julkaistaan vuosittain</v>
      </c>
      <c r="H129" t="str">
        <f>IF(Kestävä_ja_kehittyvä!N29="x","Kyllä","Ei")</f>
        <v>Ei</v>
      </c>
      <c r="I129" t="str">
        <f>IF(ISBLANK(Kestävä_ja_kehittyvä!S29),"",Kestävä_ja_kehittyvä!S29)</f>
        <v/>
      </c>
      <c r="J129">
        <f>LV!$B$10</f>
        <v>0</v>
      </c>
      <c r="K129" t="str">
        <f>LV!$I$18</f>
        <v/>
      </c>
      <c r="L129" t="str">
        <f>IF(ISBLANK(Lähtötiedot!$O$18),"",Lähtötiedot!$O$18)</f>
        <v/>
      </c>
      <c r="M129" t="str">
        <f>IF(ISBLANK(Lähtötiedot!$O$16),"",Lähtötiedot!$O$16)</f>
        <v/>
      </c>
      <c r="N129" s="73" t="str">
        <f>IF(ISBLANK(Lähtötiedot!$O$15),"",Lähtötiedot!$O$15)</f>
        <v/>
      </c>
      <c r="O129" s="73"/>
    </row>
    <row r="130" spans="1:15" x14ac:dyDescent="0.35">
      <c r="A130" t="str">
        <f>Kestävä_ja_kehittyvä!I30</f>
        <v>Ei kuulu</v>
      </c>
      <c r="B130" t="str">
        <f>Kestävä_ja_kehittyvä!P30</f>
        <v/>
      </c>
      <c r="C130" s="74" t="str">
        <f>Kestävä_ja_kehittyvä!A30</f>
        <v>1,2,3,4</v>
      </c>
      <c r="D130" t="str">
        <f>Kestävä_ja_kehittyvä!C30</f>
        <v>B,C</v>
      </c>
      <c r="E130" t="str">
        <f>IF(ISBLANK(Kestävä_ja_kehittyvä!K30),"_Otsikkorivi",Kestävä_ja_kehittyvä!K30)</f>
        <v>Kestävä ja kehittyvä</v>
      </c>
      <c r="F130" t="str">
        <f>Kestävä_ja_kehittyvä!L30</f>
        <v>11. Asiakaspalvelu ja viestintä on suunniteltua ja läpinäkyvää</v>
      </c>
      <c r="G130" t="str">
        <f>IF(ISBLANK(Kestävä_ja_kehittyvä!R30),"Otsikkorivi",Kestävä_ja_kehittyvä!R30)</f>
        <v>11.3 Asiakaspalaute kirjataan ylös</v>
      </c>
      <c r="H130" t="str">
        <f>IF(Kestävä_ja_kehittyvä!N30="x","Kyllä","Ei")</f>
        <v>Ei</v>
      </c>
      <c r="I130" t="str">
        <f>IF(ISBLANK(Kestävä_ja_kehittyvä!S30),"",Kestävä_ja_kehittyvä!S30)</f>
        <v/>
      </c>
      <c r="J130">
        <f>LV!$B$10</f>
        <v>0</v>
      </c>
      <c r="K130" t="str">
        <f>LV!$I$18</f>
        <v/>
      </c>
      <c r="L130" t="str">
        <f>IF(ISBLANK(Lähtötiedot!$O$18),"",Lähtötiedot!$O$18)</f>
        <v/>
      </c>
      <c r="M130" t="str">
        <f>IF(ISBLANK(Lähtötiedot!$O$16),"",Lähtötiedot!$O$16)</f>
        <v/>
      </c>
      <c r="N130" s="73" t="str">
        <f>IF(ISBLANK(Lähtötiedot!$O$15),"",Lähtötiedot!$O$15)</f>
        <v/>
      </c>
      <c r="O130" s="73"/>
    </row>
    <row r="131" spans="1:15" x14ac:dyDescent="0.35">
      <c r="A131" t="str">
        <f>Kestävä_ja_kehittyvä!I31</f>
        <v>Ei kuulu</v>
      </c>
      <c r="B131" t="str">
        <f>Kestävä_ja_kehittyvä!P31</f>
        <v/>
      </c>
      <c r="C131" s="74" t="str">
        <f>Kestävä_ja_kehittyvä!A31</f>
        <v>2,3,4</v>
      </c>
      <c r="D131" t="str">
        <f>Kestävä_ja_kehittyvä!C31</f>
        <v>B,C</v>
      </c>
      <c r="E131" t="str">
        <f>IF(ISBLANK(Kestävä_ja_kehittyvä!K31),"_Otsikkorivi",Kestävä_ja_kehittyvä!K31)</f>
        <v>Kestävä ja kehittyvä</v>
      </c>
      <c r="F131" t="str">
        <f>Kestävä_ja_kehittyvä!L31</f>
        <v>11. Asiakaspalvelu ja viestintä on suunniteltua ja läpinäkyvää</v>
      </c>
      <c r="G131" t="str">
        <f>IF(ISBLANK(Kestävä_ja_kehittyvä!R31),"Otsikkorivi",Kestävä_ja_kehittyvä!R31)</f>
        <v>11.4 Asiakastietojärjestelmä mahdollistaa sähköiset asiakaspalvelut</v>
      </c>
      <c r="H131" t="str">
        <f>IF(Kestävä_ja_kehittyvä!N31="x","Kyllä","Ei")</f>
        <v>Ei</v>
      </c>
      <c r="I131" t="str">
        <f>IF(ISBLANK(Kestävä_ja_kehittyvä!S31),"",Kestävä_ja_kehittyvä!S31)</f>
        <v/>
      </c>
      <c r="J131">
        <f>LV!$B$10</f>
        <v>0</v>
      </c>
      <c r="K131" t="str">
        <f>LV!$I$18</f>
        <v/>
      </c>
      <c r="L131" t="str">
        <f>IF(ISBLANK(Lähtötiedot!$O$18),"",Lähtötiedot!$O$18)</f>
        <v/>
      </c>
      <c r="M131" t="str">
        <f>IF(ISBLANK(Lähtötiedot!$O$16),"",Lähtötiedot!$O$16)</f>
        <v/>
      </c>
      <c r="N131" s="73" t="str">
        <f>IF(ISBLANK(Lähtötiedot!$O$15),"",Lähtötiedot!$O$15)</f>
        <v/>
      </c>
      <c r="O131" s="73"/>
    </row>
    <row r="132" spans="1:15" x14ac:dyDescent="0.35">
      <c r="A132" t="str">
        <f>Kestävä_ja_kehittyvä!I32</f>
        <v>Ei kuulu</v>
      </c>
      <c r="B132" t="str">
        <f>Kestävä_ja_kehittyvä!P32</f>
        <v/>
      </c>
      <c r="C132" s="74" t="str">
        <f>Kestävä_ja_kehittyvä!A32</f>
        <v>2,3,4</v>
      </c>
      <c r="D132" t="str">
        <f>Kestävä_ja_kehittyvä!C32</f>
        <v>B,C</v>
      </c>
      <c r="E132" t="str">
        <f>IF(ISBLANK(Kestävä_ja_kehittyvä!K32),"_Otsikkorivi",Kestävä_ja_kehittyvä!K32)</f>
        <v>Kestävä ja kehittyvä</v>
      </c>
      <c r="F132" t="str">
        <f>Kestävä_ja_kehittyvä!L32</f>
        <v>11. Asiakaspalvelu ja viestintä on suunniteltua ja läpinäkyvää</v>
      </c>
      <c r="G132" t="str">
        <f>IF(ISBLANK(Kestävä_ja_kehittyvä!R32),"Otsikkorivi",Kestävä_ja_kehittyvä!R32)</f>
        <v>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v>
      </c>
      <c r="H132" t="str">
        <f>IF(Kestävä_ja_kehittyvä!N32="x","Kyllä","Ei")</f>
        <v>Ei</v>
      </c>
      <c r="I132" t="str">
        <f>IF(ISBLANK(Kestävä_ja_kehittyvä!S32),"",Kestävä_ja_kehittyvä!S32)</f>
        <v/>
      </c>
      <c r="J132">
        <f>LV!$B$10</f>
        <v>0</v>
      </c>
      <c r="K132" t="str">
        <f>LV!$I$18</f>
        <v/>
      </c>
      <c r="L132" t="str">
        <f>IF(ISBLANK(Lähtötiedot!$O$18),"",Lähtötiedot!$O$18)</f>
        <v/>
      </c>
      <c r="M132" t="str">
        <f>IF(ISBLANK(Lähtötiedot!$O$16),"",Lähtötiedot!$O$16)</f>
        <v/>
      </c>
      <c r="N132" s="73" t="str">
        <f>IF(ISBLANK(Lähtötiedot!$O$15),"",Lähtötiedot!$O$15)</f>
        <v/>
      </c>
      <c r="O132" s="73"/>
    </row>
    <row r="133" spans="1:15" x14ac:dyDescent="0.35">
      <c r="A133" t="str">
        <f>Kestävä_ja_kehittyvä!I33</f>
        <v>Ei kuulu</v>
      </c>
      <c r="B133" t="str">
        <f>Kestävä_ja_kehittyvä!P33</f>
        <v/>
      </c>
      <c r="C133" s="74">
        <f>Kestävä_ja_kehittyvä!A33</f>
        <v>2</v>
      </c>
      <c r="D133" t="str">
        <f>Kestävä_ja_kehittyvä!C33</f>
        <v>B,C</v>
      </c>
      <c r="E133" t="str">
        <f>IF(ISBLANK(Kestävä_ja_kehittyvä!K33),"_Otsikkorivi",Kestävä_ja_kehittyvä!K33)</f>
        <v>Kestävä ja kehittyvä</v>
      </c>
      <c r="F133" t="str">
        <f>Kestävä_ja_kehittyvä!L33</f>
        <v>11. Asiakaspalvelu ja viestintä on suunniteltua ja läpinäkyvää</v>
      </c>
      <c r="G133" t="str">
        <f>IF(ISBLANK(Kestävä_ja_kehittyvä!R33),"Otsikkorivi",Kestävä_ja_kehittyvä!R33)</f>
        <v>11.6 Laitos tekee asiakastyytyväisyyskyselyn 2-4 vuoden välein.</v>
      </c>
      <c r="H133" t="str">
        <f>IF(Kestävä_ja_kehittyvä!N33="x","Kyllä","Ei")</f>
        <v>Ei</v>
      </c>
      <c r="I133" t="str">
        <f>IF(ISBLANK(Kestävä_ja_kehittyvä!S33),"",Kestävä_ja_kehittyvä!S33)</f>
        <v/>
      </c>
      <c r="J133">
        <f>LV!$B$10</f>
        <v>0</v>
      </c>
      <c r="K133" t="str">
        <f>LV!$I$18</f>
        <v/>
      </c>
      <c r="L133" t="str">
        <f>IF(ISBLANK(Lähtötiedot!$O$18),"",Lähtötiedot!$O$18)</f>
        <v/>
      </c>
      <c r="M133" t="str">
        <f>IF(ISBLANK(Lähtötiedot!$O$16),"",Lähtötiedot!$O$16)</f>
        <v/>
      </c>
      <c r="N133" s="73" t="str">
        <f>IF(ISBLANK(Lähtötiedot!$O$15),"",Lähtötiedot!$O$15)</f>
        <v/>
      </c>
      <c r="O133" s="73"/>
    </row>
    <row r="134" spans="1:15" x14ac:dyDescent="0.35">
      <c r="A134" t="str">
        <f>Kestävä_ja_kehittyvä!I34</f>
        <v>Ei kuulu</v>
      </c>
      <c r="B134" t="str">
        <f>Kestävä_ja_kehittyvä!P34</f>
        <v/>
      </c>
      <c r="C134" s="74">
        <f>Kestävä_ja_kehittyvä!A34</f>
        <v>3</v>
      </c>
      <c r="D134" t="str">
        <f>Kestävä_ja_kehittyvä!C34</f>
        <v>B,C</v>
      </c>
      <c r="E134" t="str">
        <f>IF(ISBLANK(Kestävä_ja_kehittyvä!K34),"_Otsikkorivi",Kestävä_ja_kehittyvä!K34)</f>
        <v>Kestävä ja kehittyvä</v>
      </c>
      <c r="F134" t="str">
        <f>Kestävä_ja_kehittyvä!L34</f>
        <v>11. Asiakaspalvelu ja viestintä on suunniteltua ja läpinäkyvää</v>
      </c>
      <c r="G134" t="str">
        <f>IF(ISBLANK(Kestävä_ja_kehittyvä!R34),"Otsikkorivi",Kestävä_ja_kehittyvä!R34)</f>
        <v>11.6 Laitos tekee asiakastyytyväisyyskyselyn 1-2 vuoden välein</v>
      </c>
      <c r="H134" t="str">
        <f>IF(Kestävä_ja_kehittyvä!N34="x","Kyllä","Ei")</f>
        <v>Ei</v>
      </c>
      <c r="I134" t="str">
        <f>IF(ISBLANK(Kestävä_ja_kehittyvä!S34),"",Kestävä_ja_kehittyvä!S34)</f>
        <v/>
      </c>
      <c r="J134">
        <f>LV!$B$10</f>
        <v>0</v>
      </c>
      <c r="K134" t="str">
        <f>LV!$I$18</f>
        <v/>
      </c>
      <c r="L134" t="str">
        <f>IF(ISBLANK(Lähtötiedot!$O$18),"",Lähtötiedot!$O$18)</f>
        <v/>
      </c>
      <c r="M134" t="str">
        <f>IF(ISBLANK(Lähtötiedot!$O$16),"",Lähtötiedot!$O$16)</f>
        <v/>
      </c>
      <c r="N134" s="73" t="str">
        <f>IF(ISBLANK(Lähtötiedot!$O$15),"",Lähtötiedot!$O$15)</f>
        <v/>
      </c>
      <c r="O134" s="73"/>
    </row>
    <row r="135" spans="1:15" x14ac:dyDescent="0.35">
      <c r="A135" t="str">
        <f>Kestävä_ja_kehittyvä!I35</f>
        <v>Ei kuulu</v>
      </c>
      <c r="B135" t="str">
        <f>Kestävä_ja_kehittyvä!P35</f>
        <v/>
      </c>
      <c r="C135" s="74">
        <f>Kestävä_ja_kehittyvä!A35</f>
        <v>4</v>
      </c>
      <c r="D135" t="str">
        <f>Kestävä_ja_kehittyvä!C35</f>
        <v>B,C</v>
      </c>
      <c r="E135" t="str">
        <f>IF(ISBLANK(Kestävä_ja_kehittyvä!K35),"_Otsikkorivi",Kestävä_ja_kehittyvä!K35)</f>
        <v>Kestävä ja kehittyvä</v>
      </c>
      <c r="F135" t="str">
        <f>Kestävä_ja_kehittyvä!L35</f>
        <v>11. Asiakaspalvelu ja viestintä on suunniteltua ja läpinäkyvää</v>
      </c>
      <c r="G135" t="str">
        <f>IF(ISBLANK(Kestävä_ja_kehittyvä!R35),"Otsikkorivi",Kestävä_ja_kehittyvä!R35)</f>
        <v>11.6 Laitos tekee asiakastyytyväisyyskyselyn vuosittain.</v>
      </c>
      <c r="H135" t="str">
        <f>IF(Kestävä_ja_kehittyvä!N35="x","Kyllä","Ei")</f>
        <v>Ei</v>
      </c>
      <c r="I135" t="str">
        <f>IF(ISBLANK(Kestävä_ja_kehittyvä!S35),"",Kestävä_ja_kehittyvä!S35)</f>
        <v/>
      </c>
      <c r="J135">
        <f>LV!$B$10</f>
        <v>0</v>
      </c>
      <c r="K135" t="str">
        <f>LV!$I$18</f>
        <v/>
      </c>
      <c r="L135" t="str">
        <f>IF(ISBLANK(Lähtötiedot!$O$18),"",Lähtötiedot!$O$18)</f>
        <v/>
      </c>
      <c r="M135" t="str">
        <f>IF(ISBLANK(Lähtötiedot!$O$16),"",Lähtötiedot!$O$16)</f>
        <v/>
      </c>
      <c r="N135" s="73" t="str">
        <f>IF(ISBLANK(Lähtötiedot!$O$15),"",Lähtötiedot!$O$15)</f>
        <v/>
      </c>
      <c r="O135" s="73"/>
    </row>
    <row r="136" spans="1:15" x14ac:dyDescent="0.35">
      <c r="A136" t="str">
        <f>Kestävä_ja_kehittyvä!I36</f>
        <v>Ei kuulu</v>
      </c>
      <c r="B136" t="str">
        <f>Kestävä_ja_kehittyvä!P36</f>
        <v/>
      </c>
      <c r="C136" s="74">
        <f>Kestävä_ja_kehittyvä!A36</f>
        <v>3.4</v>
      </c>
      <c r="D136" t="str">
        <f>Kestävä_ja_kehittyvä!C36</f>
        <v>B,C</v>
      </c>
      <c r="E136" t="str">
        <f>IF(ISBLANK(Kestävä_ja_kehittyvä!K36),"_Otsikkorivi",Kestävä_ja_kehittyvä!K36)</f>
        <v>Kestävä ja kehittyvä</v>
      </c>
      <c r="F136" t="str">
        <f>Kestävä_ja_kehittyvä!L36</f>
        <v>11. Asiakaspalvelu ja viestintä on suunniteltua ja läpinäkyvää</v>
      </c>
      <c r="G136" t="str">
        <f>IF(ISBLANK(Kestävä_ja_kehittyvä!R36),"Otsikkorivi",Kestävä_ja_kehittyvä!R36)</f>
        <v>11.7 Asiakasvalituksiin vastaamiseen on asetettu tavoiteaika.</v>
      </c>
      <c r="H136" t="str">
        <f>IF(Kestävä_ja_kehittyvä!N36="x","Kyllä","Ei")</f>
        <v>Ei</v>
      </c>
      <c r="I136" t="str">
        <f>IF(ISBLANK(Kestävä_ja_kehittyvä!S36),"",Kestävä_ja_kehittyvä!S36)</f>
        <v/>
      </c>
      <c r="J136">
        <f>LV!$B$10</f>
        <v>0</v>
      </c>
      <c r="K136" t="str">
        <f>LV!$I$18</f>
        <v/>
      </c>
      <c r="L136" t="str">
        <f>IF(ISBLANK(Lähtötiedot!$O$18),"",Lähtötiedot!$O$18)</f>
        <v/>
      </c>
      <c r="M136" t="str">
        <f>IF(ISBLANK(Lähtötiedot!$O$16),"",Lähtötiedot!$O$16)</f>
        <v/>
      </c>
      <c r="N136" s="73" t="str">
        <f>IF(ISBLANK(Lähtötiedot!$O$15),"",Lähtötiedot!$O$15)</f>
        <v/>
      </c>
      <c r="O136" s="73"/>
    </row>
    <row r="137" spans="1:15" x14ac:dyDescent="0.35">
      <c r="A137" t="str">
        <f>Kestävä_ja_kehittyvä!I37</f>
        <v>Ei kuulu</v>
      </c>
      <c r="B137" t="str">
        <f>Kestävä_ja_kehittyvä!P37</f>
        <v/>
      </c>
      <c r="C137" s="74">
        <f>Kestävä_ja_kehittyvä!A37</f>
        <v>3.4</v>
      </c>
      <c r="D137" t="str">
        <f>Kestävä_ja_kehittyvä!C37</f>
        <v>B,C</v>
      </c>
      <c r="E137" t="str">
        <f>IF(ISBLANK(Kestävä_ja_kehittyvä!K37),"_Otsikkorivi",Kestävä_ja_kehittyvä!K37)</f>
        <v>Kestävä ja kehittyvä</v>
      </c>
      <c r="F137" t="str">
        <f>Kestävä_ja_kehittyvä!L37</f>
        <v>11. Asiakaspalvelu ja viestintä on suunniteltua ja läpinäkyvää</v>
      </c>
      <c r="G137" t="str">
        <f>IF(ISBLANK(Kestävä_ja_kehittyvä!R37),"Otsikkorivi",Kestävä_ja_kehittyvä!R37)</f>
        <v>11.8 Käytössä liittyjäkohtainen kuluttajaviestintä (esim. tekstiviesti-ilmoitus)</v>
      </c>
      <c r="H137" t="str">
        <f>IF(Kestävä_ja_kehittyvä!N37="x","Kyllä","Ei")</f>
        <v>Ei</v>
      </c>
      <c r="I137" t="str">
        <f>IF(ISBLANK(Kestävä_ja_kehittyvä!S37),"",Kestävä_ja_kehittyvä!S37)</f>
        <v/>
      </c>
      <c r="J137">
        <f>LV!$B$10</f>
        <v>0</v>
      </c>
      <c r="K137" t="str">
        <f>LV!$I$18</f>
        <v/>
      </c>
      <c r="L137" t="str">
        <f>IF(ISBLANK(Lähtötiedot!$O$18),"",Lähtötiedot!$O$18)</f>
        <v/>
      </c>
      <c r="M137" t="str">
        <f>IF(ISBLANK(Lähtötiedot!$O$16),"",Lähtötiedot!$O$16)</f>
        <v/>
      </c>
      <c r="N137" s="73" t="str">
        <f>IF(ISBLANK(Lähtötiedot!$O$15),"",Lähtötiedot!$O$15)</f>
        <v/>
      </c>
      <c r="O137" s="73"/>
    </row>
    <row r="138" spans="1:15" x14ac:dyDescent="0.35">
      <c r="A138" t="str">
        <f>Kestävä_ja_kehittyvä!I38</f>
        <v>Ei kuulu</v>
      </c>
      <c r="B138" t="str">
        <f>Kestävä_ja_kehittyvä!P38</f>
        <v/>
      </c>
      <c r="C138" s="74">
        <f>Kestävä_ja_kehittyvä!A38</f>
        <v>4</v>
      </c>
      <c r="D138" t="str">
        <f>Kestävä_ja_kehittyvä!C38</f>
        <v>B,C</v>
      </c>
      <c r="E138" t="str">
        <f>IF(ISBLANK(Kestävä_ja_kehittyvä!K38),"_Otsikkorivi",Kestävä_ja_kehittyvä!K38)</f>
        <v>Kestävä ja kehittyvä</v>
      </c>
      <c r="F138" t="str">
        <f>Kestävä_ja_kehittyvä!L38</f>
        <v>11. Asiakaspalvelu ja viestintä on suunniteltua ja läpinäkyvää</v>
      </c>
      <c r="G138" t="str">
        <f>IF(ISBLANK(Kestävä_ja_kehittyvä!R38),"Otsikkorivi",Kestävä_ja_kehittyvä!R38)</f>
        <v>11.9 Sijaintitiedon kannalta oleelliset asiakasvalitukset hallinnoidaan paikkatietona. (esim. johtotietojärjestelmä, kunnossapitojärjestelmä)</v>
      </c>
      <c r="H138" t="str">
        <f>IF(Kestävä_ja_kehittyvä!N38="x","Kyllä","Ei")</f>
        <v>Ei</v>
      </c>
      <c r="I138" t="str">
        <f>IF(ISBLANK(Kestävä_ja_kehittyvä!S38),"",Kestävä_ja_kehittyvä!S38)</f>
        <v/>
      </c>
      <c r="J138">
        <f>LV!$B$10</f>
        <v>0</v>
      </c>
      <c r="K138" t="str">
        <f>LV!$I$18</f>
        <v/>
      </c>
      <c r="L138" t="str">
        <f>IF(ISBLANK(Lähtötiedot!$O$18),"",Lähtötiedot!$O$18)</f>
        <v/>
      </c>
      <c r="M138" t="str">
        <f>IF(ISBLANK(Lähtötiedot!$O$16),"",Lähtötiedot!$O$16)</f>
        <v/>
      </c>
      <c r="N138" s="73" t="str">
        <f>IF(ISBLANK(Lähtötiedot!$O$15),"",Lähtötiedot!$O$15)</f>
        <v/>
      </c>
      <c r="O138" s="73"/>
    </row>
    <row r="139" spans="1:15" x14ac:dyDescent="0.35">
      <c r="A139" t="str">
        <f>Kestävä_ja_kehittyvä!I39</f>
        <v>Ei kuulu</v>
      </c>
      <c r="B139" t="str">
        <f>Kestävä_ja_kehittyvä!P39</f>
        <v/>
      </c>
      <c r="C139" s="74">
        <f>Kestävä_ja_kehittyvä!A39</f>
        <v>4</v>
      </c>
      <c r="D139" t="str">
        <f>Kestävä_ja_kehittyvä!C39</f>
        <v>B,C</v>
      </c>
      <c r="E139" t="str">
        <f>IF(ISBLANK(Kestävä_ja_kehittyvä!K39),"_Otsikkorivi",Kestävä_ja_kehittyvä!K39)</f>
        <v>Kestävä ja kehittyvä</v>
      </c>
      <c r="F139" t="str">
        <f>Kestävä_ja_kehittyvä!L39</f>
        <v>11. Asiakaspalvelu ja viestintä on suunniteltua ja läpinäkyvää</v>
      </c>
      <c r="G139" t="str">
        <f>IF(ISBLANK(Kestävä_ja_kehittyvä!R39),"Otsikkorivi",Kestävä_ja_kehittyvä!R39)</f>
        <v>11.10 Asiakastyytyväisyyden tulos tasolla vähintään hyvä.</v>
      </c>
      <c r="H139" t="str">
        <f>IF(Kestävä_ja_kehittyvä!N39="x","Kyllä","Ei")</f>
        <v>Ei</v>
      </c>
      <c r="I139" t="str">
        <f>IF(ISBLANK(Kestävä_ja_kehittyvä!S39),"",Kestävä_ja_kehittyvä!S39)</f>
        <v/>
      </c>
      <c r="J139">
        <f>LV!$B$10</f>
        <v>0</v>
      </c>
      <c r="K139" t="str">
        <f>LV!$I$18</f>
        <v/>
      </c>
      <c r="L139" t="str">
        <f>IF(ISBLANK(Lähtötiedot!$O$18),"",Lähtötiedot!$O$18)</f>
        <v/>
      </c>
      <c r="M139" t="str">
        <f>IF(ISBLANK(Lähtötiedot!$O$16),"",Lähtötiedot!$O$16)</f>
        <v/>
      </c>
      <c r="N139" s="73" t="str">
        <f>IF(ISBLANK(Lähtötiedot!$O$15),"",Lähtötiedot!$O$15)</f>
        <v/>
      </c>
      <c r="O139" s="73"/>
    </row>
    <row r="140" spans="1:15" x14ac:dyDescent="0.35">
      <c r="A140" t="str">
        <f>Kestävä_ja_kehittyvä!I40</f>
        <v>Ei kuulu</v>
      </c>
      <c r="B140" t="str">
        <f>Kestävä_ja_kehittyvä!P40</f>
        <v/>
      </c>
      <c r="C140" s="74">
        <f>Kestävä_ja_kehittyvä!A40</f>
        <v>4</v>
      </c>
      <c r="D140" t="str">
        <f>Kestävä_ja_kehittyvä!C40</f>
        <v>B,C</v>
      </c>
      <c r="E140" t="str">
        <f>IF(ISBLANK(Kestävä_ja_kehittyvä!K40),"_Otsikkorivi",Kestävä_ja_kehittyvä!K40)</f>
        <v>Kestävä ja kehittyvä</v>
      </c>
      <c r="F140" t="str">
        <f>Kestävä_ja_kehittyvä!L40</f>
        <v>11. Asiakaspalvelu ja viestintä on suunniteltua ja läpinäkyvää</v>
      </c>
      <c r="G140" t="str">
        <f>IF(ISBLANK(Kestävä_ja_kehittyvä!R40),"Otsikkorivi",Kestävä_ja_kehittyvä!R40)</f>
        <v>11.11 Asiakaspalvelua kehitetään asiakastyytyväisyyskyselyjen lisäksi yhteistyössä asiakkaiden kanssa. (esim. säännöllinen asiakasfoorumi, isännöitsijätapaamiset)</v>
      </c>
      <c r="H140" t="str">
        <f>IF(Kestävä_ja_kehittyvä!N40="x","Kyllä","Ei")</f>
        <v>Ei</v>
      </c>
      <c r="I140" t="str">
        <f>IF(ISBLANK(Kestävä_ja_kehittyvä!S40),"",Kestävä_ja_kehittyvä!S40)</f>
        <v/>
      </c>
      <c r="J140">
        <f>LV!$B$10</f>
        <v>0</v>
      </c>
      <c r="K140" t="str">
        <f>LV!$I$18</f>
        <v/>
      </c>
      <c r="L140" t="str">
        <f>IF(ISBLANK(Lähtötiedot!$O$18),"",Lähtötiedot!$O$18)</f>
        <v/>
      </c>
      <c r="M140" t="str">
        <f>IF(ISBLANK(Lähtötiedot!$O$16),"",Lähtötiedot!$O$16)</f>
        <v/>
      </c>
      <c r="N140" s="73" t="str">
        <f>IF(ISBLANK(Lähtötiedot!$O$15),"",Lähtötiedot!$O$15)</f>
        <v/>
      </c>
      <c r="O140" s="73"/>
    </row>
    <row r="141" spans="1:15" x14ac:dyDescent="0.35">
      <c r="A141" t="str">
        <f>Kestävä_ja_kehittyvä!I41</f>
        <v>Ei kuulu</v>
      </c>
      <c r="B141" t="str">
        <f>Kestävä_ja_kehittyvä!P41</f>
        <v/>
      </c>
      <c r="C141" s="74">
        <f>Kestävä_ja_kehittyvä!A41</f>
        <v>4</v>
      </c>
      <c r="D141" t="str">
        <f>Kestävä_ja_kehittyvä!C41</f>
        <v>B,C</v>
      </c>
      <c r="E141" t="str">
        <f>IF(ISBLANK(Kestävä_ja_kehittyvä!K41),"_Otsikkorivi",Kestävä_ja_kehittyvä!K41)</f>
        <v>Kestävä ja kehittyvä</v>
      </c>
      <c r="F141" t="str">
        <f>Kestävä_ja_kehittyvä!L41</f>
        <v>11. Asiakaspalvelu ja viestintä on suunniteltua ja läpinäkyvää</v>
      </c>
      <c r="G141" t="str">
        <f>IF(ISBLANK(Kestävä_ja_kehittyvä!R41),"Otsikkorivi",Kestävä_ja_kehittyvä!R41)</f>
        <v>11.12 Asiakaspalvelulle on määritelty palvelutaso normaalitoiminnassa ja häiriötilanteissa.</v>
      </c>
      <c r="H141" t="str">
        <f>IF(Kestävä_ja_kehittyvä!N41="x","Kyllä","Ei")</f>
        <v>Ei</v>
      </c>
      <c r="I141" t="str">
        <f>IF(ISBLANK(Kestävä_ja_kehittyvä!S41),"",Kestävä_ja_kehittyvä!S41)</f>
        <v/>
      </c>
      <c r="J141">
        <f>LV!$B$10</f>
        <v>0</v>
      </c>
      <c r="K141" t="str">
        <f>LV!$I$18</f>
        <v/>
      </c>
      <c r="L141" t="str">
        <f>IF(ISBLANK(Lähtötiedot!$O$18),"",Lähtötiedot!$O$18)</f>
        <v/>
      </c>
      <c r="M141" t="str">
        <f>IF(ISBLANK(Lähtötiedot!$O$16),"",Lähtötiedot!$O$16)</f>
        <v/>
      </c>
      <c r="N141" s="73" t="str">
        <f>IF(ISBLANK(Lähtötiedot!$O$15),"",Lähtötiedot!$O$15)</f>
        <v/>
      </c>
      <c r="O141" s="73"/>
    </row>
    <row r="142" spans="1:15" x14ac:dyDescent="0.35">
      <c r="A142" t="str">
        <f>Kestävä_ja_kehittyvä!I42</f>
        <v>Ei kuulu</v>
      </c>
      <c r="B142" t="str">
        <f>Kestävä_ja_kehittyvä!P42</f>
        <v/>
      </c>
      <c r="C142" s="74">
        <f>Kestävä_ja_kehittyvä!A42</f>
        <v>5</v>
      </c>
      <c r="D142" t="str">
        <f>Kestävä_ja_kehittyvä!C42</f>
        <v>B,C</v>
      </c>
      <c r="E142" t="str">
        <f>IF(ISBLANK(Kestävä_ja_kehittyvä!K42),"_Otsikkorivi",Kestävä_ja_kehittyvä!K42)</f>
        <v>Kestävä ja kehittyvä</v>
      </c>
      <c r="F142" t="str">
        <f>Kestävä_ja_kehittyvä!L42</f>
        <v>11. Asiakaspalvelu ja viestintä on suunniteltua ja läpinäkyvää</v>
      </c>
      <c r="G142" t="str">
        <f>IF(ISBLANK(Kestävä_ja_kehittyvä!R42),"Otsikkorivi",Kestävä_ja_kehittyvä!R42)</f>
        <v>11.13 Asiakastyytyväisyyden jatkuva seuranta aina asiakaskohtaamisen yhteydessä</v>
      </c>
      <c r="H142" t="str">
        <f>IF(Kestävä_ja_kehittyvä!N42="x","Kyllä","Ei")</f>
        <v>Ei</v>
      </c>
      <c r="I142" t="str">
        <f>IF(ISBLANK(Kestävä_ja_kehittyvä!S42),"",Kestävä_ja_kehittyvä!S42)</f>
        <v/>
      </c>
      <c r="J142">
        <f>LV!$B$10</f>
        <v>0</v>
      </c>
      <c r="K142" t="str">
        <f>LV!$I$18</f>
        <v/>
      </c>
      <c r="L142" t="str">
        <f>IF(ISBLANK(Lähtötiedot!$O$18),"",Lähtötiedot!$O$18)</f>
        <v/>
      </c>
      <c r="M142" t="str">
        <f>IF(ISBLANK(Lähtötiedot!$O$16),"",Lähtötiedot!$O$16)</f>
        <v/>
      </c>
      <c r="N142" s="73" t="str">
        <f>IF(ISBLANK(Lähtötiedot!$O$15),"",Lähtötiedot!$O$15)</f>
        <v/>
      </c>
      <c r="O142" s="73"/>
    </row>
    <row r="143" spans="1:15" x14ac:dyDescent="0.35">
      <c r="A143" t="str">
        <f>Kestävä_ja_kehittyvä!I43</f>
        <v>Ei kuulu</v>
      </c>
      <c r="B143" t="str">
        <f>Kestävä_ja_kehittyvä!P43</f>
        <v/>
      </c>
      <c r="C143" s="74">
        <f>Kestävä_ja_kehittyvä!A43</f>
        <v>5</v>
      </c>
      <c r="D143" t="str">
        <f>Kestävä_ja_kehittyvä!C43</f>
        <v>B,C</v>
      </c>
      <c r="E143" t="str">
        <f>IF(ISBLANK(Kestävä_ja_kehittyvä!K43),"_Otsikkorivi",Kestävä_ja_kehittyvä!K43)</f>
        <v>Kestävä ja kehittyvä</v>
      </c>
      <c r="F143" t="str">
        <f>Kestävä_ja_kehittyvä!L43</f>
        <v>11. Asiakaspalvelu ja viestintä on suunniteltua ja läpinäkyvää</v>
      </c>
      <c r="G143" t="str">
        <f>IF(ISBLANK(Kestävä_ja_kehittyvä!R43),"Otsikkorivi",Kestävä_ja_kehittyvä!R43)</f>
        <v>11.14 Asiakkaille tarjotaan kohderyhmittäin räätälöityjä lisäpalveluja kulutustietojen, asioinnin yms. suhteen, esim. etäluenta, ladattava äppi tms.</v>
      </c>
      <c r="H143" t="str">
        <f>IF(Kestävä_ja_kehittyvä!N43="x","Kyllä","Ei")</f>
        <v>Ei</v>
      </c>
      <c r="I143" t="str">
        <f>IF(ISBLANK(Kestävä_ja_kehittyvä!S43),"",Kestävä_ja_kehittyvä!S43)</f>
        <v/>
      </c>
      <c r="J143">
        <f>LV!$B$10</f>
        <v>0</v>
      </c>
      <c r="K143" t="str">
        <f>LV!$I$18</f>
        <v/>
      </c>
      <c r="L143" t="str">
        <f>IF(ISBLANK(Lähtötiedot!$O$18),"",Lähtötiedot!$O$18)</f>
        <v/>
      </c>
      <c r="M143" t="str">
        <f>IF(ISBLANK(Lähtötiedot!$O$16),"",Lähtötiedot!$O$16)</f>
        <v/>
      </c>
      <c r="N143" s="73" t="str">
        <f>IF(ISBLANK(Lähtötiedot!$O$15),"",Lähtötiedot!$O$15)</f>
        <v/>
      </c>
      <c r="O143" s="73"/>
    </row>
  </sheetData>
  <pageMargins left="0.7" right="0.7" top="0.75" bottom="0.75" header="0.3" footer="0.3"/>
  <pageSetup paperSize="9" orientation="portrait" horizontalDpi="4294967293"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EC6B-1A44-40E8-BFD0-27B8840B0117}">
  <sheetPr>
    <tabColor rgb="FF008ADE"/>
  </sheetPr>
  <dimension ref="A1:Y143"/>
  <sheetViews>
    <sheetView showGridLines="0" workbookViewId="0">
      <selection activeCell="O1" sqref="O1"/>
    </sheetView>
  </sheetViews>
  <sheetFormatPr defaultRowHeight="14.5" x14ac:dyDescent="0.35"/>
  <cols>
    <col min="1" max="1" width="10.81640625" customWidth="1"/>
    <col min="2" max="2" width="14.08984375" customWidth="1"/>
    <col min="3" max="3" width="20.08984375" style="74" bestFit="1" customWidth="1"/>
    <col min="4" max="4" width="17.90625" bestFit="1" customWidth="1"/>
    <col min="5" max="5" width="13.453125" customWidth="1"/>
    <col min="6" max="6" width="12.90625" customWidth="1"/>
    <col min="7" max="7" width="62.36328125" customWidth="1"/>
    <col min="8" max="8" width="15.08984375" customWidth="1"/>
    <col min="9" max="9" width="9.6328125" customWidth="1"/>
    <col min="10" max="10" width="20.1796875" customWidth="1"/>
    <col min="11" max="11" width="17.6328125" customWidth="1"/>
    <col min="12" max="12" width="8.90625" bestFit="1" customWidth="1"/>
    <col min="13" max="13" width="17.36328125" customWidth="1"/>
    <col min="14" max="14" width="12.6328125" customWidth="1"/>
    <col min="15" max="15" width="3.81640625" customWidth="1"/>
    <col min="25" max="25" width="4.6328125" customWidth="1"/>
  </cols>
  <sheetData>
    <row r="1" spans="1:25" x14ac:dyDescent="0.35">
      <c r="A1" t="s">
        <v>240</v>
      </c>
      <c r="B1" t="s">
        <v>237</v>
      </c>
      <c r="C1" s="74" t="s">
        <v>239</v>
      </c>
      <c r="D1" t="s">
        <v>238</v>
      </c>
      <c r="E1" t="s">
        <v>1</v>
      </c>
      <c r="F1" t="s">
        <v>229</v>
      </c>
      <c r="G1" t="s">
        <v>230</v>
      </c>
      <c r="H1" t="s">
        <v>5</v>
      </c>
      <c r="I1" t="s">
        <v>231</v>
      </c>
      <c r="J1" t="s">
        <v>234</v>
      </c>
      <c r="K1" t="s">
        <v>235</v>
      </c>
      <c r="L1" t="s">
        <v>232</v>
      </c>
      <c r="M1" t="s">
        <v>233</v>
      </c>
      <c r="N1" t="s">
        <v>236</v>
      </c>
      <c r="P1" s="137"/>
      <c r="Q1" s="137"/>
      <c r="R1" s="137"/>
      <c r="S1" s="137"/>
      <c r="T1" s="137"/>
      <c r="U1" s="137"/>
      <c r="V1" s="137"/>
      <c r="W1" s="137"/>
      <c r="X1" s="137"/>
      <c r="Y1" s="137"/>
    </row>
    <row r="2" spans="1:25" hidden="1" x14ac:dyDescent="0.35">
      <c r="A2" t="str">
        <f>Koontitaulukko10[[#This Row],[Kuuluuko kriteeri kyseisen laitoksen vastattavaksi]]</f>
        <v>Ei kuulu</v>
      </c>
      <c r="B2" t="str">
        <f>Koontitaulukko10[[#This Row],[Extra-kysymys]]</f>
        <v/>
      </c>
      <c r="C2" t="str">
        <f>Koontitaulukko10[[#This Row],[Kriteerin kokoluokka]]</f>
        <v xml:space="preserve">1,2,3,4 </v>
      </c>
      <c r="D2" t="str">
        <f>Koontitaulukko10[[#This Row],[Kriteerin toimiala]]</f>
        <v>A,B,C,D</v>
      </c>
      <c r="E2" t="str">
        <f>Koontitaulukko10[[#This Row],[Pääkategoria]]</f>
        <v>Turvallinen ja toimintavarma</v>
      </c>
      <c r="F2" t="str">
        <f>Koontitaulukko10[[#This Row],[Alakategoria]]</f>
        <v>_Otsikkorivi</v>
      </c>
      <c r="G2" t="str">
        <f>Koontitaulukko10[[#This Row],[Arviointikriteeri]]</f>
        <v>1. Laadukas, raakaveden laadun huomioiva, kriteerit täyttävä vedenkäsittelyprosessi</v>
      </c>
      <c r="H2" t="str">
        <f>Koontitaulukko10[[#This Row],[Huoltovarmuus]]</f>
        <v>Ei</v>
      </c>
      <c r="I2" t="str">
        <f>Koontitaulukko10[[#This Row],[Vastaus ]]</f>
        <v/>
      </c>
      <c r="J2">
        <f>Koontitaulukko10[[#This Row],[Vastaajan kokoluokka]]</f>
        <v>0</v>
      </c>
      <c r="K2" t="str">
        <f>Koontitaulukko10[[#This Row],[Vastaajan toimiala]]</f>
        <v/>
      </c>
      <c r="L2" t="str">
        <f>Koontitaulukko10[[#This Row],[Kunta]]</f>
        <v/>
      </c>
      <c r="M2" t="str">
        <f>Koontitaulukko10[[#This Row],[Vesilaitoksen nimi]]</f>
        <v/>
      </c>
      <c r="N2" s="73" t="str">
        <f>Koontitaulukko10[[#This Row],[Vastauspvm]]</f>
        <v/>
      </c>
      <c r="O2" s="73"/>
      <c r="P2" s="137"/>
      <c r="Q2" s="137"/>
      <c r="R2" s="137"/>
      <c r="S2" s="137"/>
      <c r="T2" s="137"/>
      <c r="U2" s="137"/>
      <c r="V2" s="137"/>
      <c r="W2" s="137"/>
      <c r="X2" s="137"/>
      <c r="Y2" s="137"/>
    </row>
    <row r="3" spans="1:25" x14ac:dyDescent="0.35">
      <c r="A3" t="str">
        <f>Koontitaulukko10[[#This Row],[Kuuluuko kriteeri kyseisen laitoksen vastattavaksi]]</f>
        <v>Ei kuulu</v>
      </c>
      <c r="B3" t="str">
        <f>Koontitaulukko10[[#This Row],[Extra-kysymys]]</f>
        <v/>
      </c>
      <c r="C3" t="str">
        <f>Koontitaulukko10[[#This Row],[Kriteerin kokoluokka]]</f>
        <v xml:space="preserve">1,2,3,4 </v>
      </c>
      <c r="D3" t="str">
        <f>Koontitaulukko10[[#This Row],[Kriteerin toimiala]]</f>
        <v>A,B</v>
      </c>
      <c r="E3" t="str">
        <f>Koontitaulukko10[[#This Row],[Pääkategoria]]</f>
        <v>Turvallinen ja toimintavarma</v>
      </c>
      <c r="F3" t="str">
        <f>Koontitaulukko10[[#This Row],[Alakategoria]]</f>
        <v>1. Laadukas, raakaveden laadun huomioiva, kriteerit täyttävä vedenkäsittelyprosessi</v>
      </c>
      <c r="G3" t="str">
        <f>Koontitaulukko10[[#This Row],[Arviointikriteeri]]</f>
        <v>1.1 Vesilaitoksella on valmius aloittaa tai järjestää klooridesinfiointi 6 h sisällä talousvesiasetuksen (1352/2015) 20 a pykälän edellyttämällä tavalla.</v>
      </c>
      <c r="H3" t="str">
        <f>Koontitaulukko10[[#This Row],[Huoltovarmuus]]</f>
        <v>Kyllä</v>
      </c>
      <c r="I3" t="str">
        <f>Koontitaulukko10[[#This Row],[Vastaus ]]</f>
        <v/>
      </c>
      <c r="J3">
        <f>Koontitaulukko10[[#This Row],[Vastaajan kokoluokka]]</f>
        <v>0</v>
      </c>
      <c r="K3" t="str">
        <f>Koontitaulukko10[[#This Row],[Vastaajan toimiala]]</f>
        <v/>
      </c>
      <c r="L3" t="str">
        <f>Koontitaulukko10[[#This Row],[Kunta]]</f>
        <v/>
      </c>
      <c r="M3" t="str">
        <f>Koontitaulukko10[[#This Row],[Vesilaitoksen nimi]]</f>
        <v/>
      </c>
      <c r="N3" s="73" t="str">
        <f>Koontitaulukko10[[#This Row],[Vastauspvm]]</f>
        <v/>
      </c>
      <c r="O3" s="73"/>
      <c r="P3" s="137"/>
      <c r="Q3" s="137"/>
      <c r="R3" s="137"/>
      <c r="S3" s="137"/>
      <c r="T3" s="137"/>
      <c r="U3" s="137"/>
      <c r="V3" s="137"/>
      <c r="W3" s="137"/>
      <c r="X3" s="137"/>
      <c r="Y3" s="137"/>
    </row>
    <row r="4" spans="1:25" x14ac:dyDescent="0.35">
      <c r="A4" t="str">
        <f>Koontitaulukko10[[#This Row],[Kuuluuko kriteeri kyseisen laitoksen vastattavaksi]]</f>
        <v>Ei kuulu</v>
      </c>
      <c r="B4" t="str">
        <f>Koontitaulukko10[[#This Row],[Extra-kysymys]]</f>
        <v/>
      </c>
      <c r="C4" t="str">
        <f>Koontitaulukko10[[#This Row],[Kriteerin kokoluokka]]</f>
        <v>1,2,3,4</v>
      </c>
      <c r="D4" t="str">
        <f>Koontitaulukko10[[#This Row],[Kriteerin toimiala]]</f>
        <v>A,B</v>
      </c>
      <c r="E4" t="str">
        <f>Koontitaulukko10[[#This Row],[Pääkategoria]]</f>
        <v>Turvallinen ja toimintavarma</v>
      </c>
      <c r="F4" t="str">
        <f>Koontitaulukko10[[#This Row],[Alakategoria]]</f>
        <v>1. Laadukas, raakaveden laadun huomioiva, kriteerit täyttävä vedenkäsittelyprosessi</v>
      </c>
      <c r="G4" t="str">
        <f>Koontitaulukko10[[#This Row],[Arviointikriteeri]]</f>
        <v>1.2 Klooridesinfiointia testataan säännöllisesti.</v>
      </c>
      <c r="H4" t="str">
        <f>Koontitaulukko10[[#This Row],[Huoltovarmuus]]</f>
        <v>Kyllä</v>
      </c>
      <c r="I4" t="str">
        <f>Koontitaulukko10[[#This Row],[Vastaus ]]</f>
        <v/>
      </c>
      <c r="J4">
        <f>Koontitaulukko10[[#This Row],[Vastaajan kokoluokka]]</f>
        <v>0</v>
      </c>
      <c r="K4" t="str">
        <f>Koontitaulukko10[[#This Row],[Vastaajan toimiala]]</f>
        <v/>
      </c>
      <c r="L4" t="str">
        <f>Koontitaulukko10[[#This Row],[Kunta]]</f>
        <v/>
      </c>
      <c r="M4" t="str">
        <f>Koontitaulukko10[[#This Row],[Vesilaitoksen nimi]]</f>
        <v/>
      </c>
      <c r="N4" s="73" t="str">
        <f>Koontitaulukko10[[#This Row],[Vastauspvm]]</f>
        <v/>
      </c>
      <c r="O4" s="73"/>
      <c r="P4" s="137"/>
      <c r="Q4" s="137"/>
      <c r="R4" s="137"/>
      <c r="S4" s="137"/>
      <c r="T4" s="137"/>
      <c r="U4" s="137"/>
      <c r="V4" s="137"/>
      <c r="W4" s="137"/>
      <c r="X4" s="137"/>
      <c r="Y4" s="137"/>
    </row>
    <row r="5" spans="1:25" x14ac:dyDescent="0.35">
      <c r="A5" t="str">
        <f>Koontitaulukko10[[#This Row],[Kuuluuko kriteeri kyseisen laitoksen vastattavaksi]]</f>
        <v>Ei kuulu</v>
      </c>
      <c r="B5" t="str">
        <f>Koontitaulukko10[[#This Row],[Extra-kysymys]]</f>
        <v/>
      </c>
      <c r="C5" t="str">
        <f>Koontitaulukko10[[#This Row],[Kriteerin kokoluokka]]</f>
        <v>1,2,3,4</v>
      </c>
      <c r="D5" t="str">
        <f>Koontitaulukko10[[#This Row],[Kriteerin toimiala]]</f>
        <v>A,B</v>
      </c>
      <c r="E5" t="str">
        <f>Koontitaulukko10[[#This Row],[Pääkategoria]]</f>
        <v>Turvallinen ja toimintavarma</v>
      </c>
      <c r="F5" t="str">
        <f>Koontitaulukko10[[#This Row],[Alakategoria]]</f>
        <v>1. Laadukas, raakaveden laadun huomioiva, kriteerit täyttävä vedenkäsittelyprosessi</v>
      </c>
      <c r="G5" t="str">
        <f>Koontitaulukko10[[#This Row],[Arviointikriteeri]]</f>
        <v>1.3 Laatuvaatimukset täyttävä vedenlaatu (100 % näytteistä)</v>
      </c>
      <c r="H5" t="str">
        <f>Koontitaulukko10[[#This Row],[Huoltovarmuus]]</f>
        <v>Kyllä</v>
      </c>
      <c r="I5" t="str">
        <f>Koontitaulukko10[[#This Row],[Vastaus ]]</f>
        <v/>
      </c>
      <c r="J5">
        <f>Koontitaulukko10[[#This Row],[Vastaajan kokoluokka]]</f>
        <v>0</v>
      </c>
      <c r="K5" t="str">
        <f>Koontitaulukko10[[#This Row],[Vastaajan toimiala]]</f>
        <v/>
      </c>
      <c r="L5" t="str">
        <f>Koontitaulukko10[[#This Row],[Kunta]]</f>
        <v/>
      </c>
      <c r="M5" t="str">
        <f>Koontitaulukko10[[#This Row],[Vesilaitoksen nimi]]</f>
        <v/>
      </c>
      <c r="N5" s="73" t="str">
        <f>Koontitaulukko10[[#This Row],[Vastauspvm]]</f>
        <v/>
      </c>
      <c r="O5" s="73"/>
      <c r="P5" s="137"/>
      <c r="Q5" s="137"/>
      <c r="R5" s="137"/>
      <c r="S5" s="137"/>
      <c r="T5" s="137"/>
      <c r="U5" s="137"/>
      <c r="V5" s="137"/>
      <c r="W5" s="137"/>
      <c r="X5" s="137"/>
      <c r="Y5" s="137"/>
    </row>
    <row r="6" spans="1:25" x14ac:dyDescent="0.35">
      <c r="A6" t="str">
        <f>Koontitaulukko10[[#This Row],[Kuuluuko kriteeri kyseisen laitoksen vastattavaksi]]</f>
        <v>Ei kuulu</v>
      </c>
      <c r="B6" t="str">
        <f>Koontitaulukko10[[#This Row],[Extra-kysymys]]</f>
        <v/>
      </c>
      <c r="C6" t="str">
        <f>Koontitaulukko10[[#This Row],[Kriteerin kokoluokka]]</f>
        <v>1,2,3,4</v>
      </c>
      <c r="D6" t="str">
        <f>Koontitaulukko10[[#This Row],[Kriteerin toimiala]]</f>
        <v>A,B</v>
      </c>
      <c r="E6" t="str">
        <f>Koontitaulukko10[[#This Row],[Pääkategoria]]</f>
        <v>Turvallinen ja toimintavarma</v>
      </c>
      <c r="F6" t="str">
        <f>Koontitaulukko10[[#This Row],[Alakategoria]]</f>
        <v>1. Laadukas, raakaveden laadun huomioiva, kriteerit täyttävä vedenkäsittelyprosessi</v>
      </c>
      <c r="G6" t="str">
        <f>Koontitaulukko10[[#This Row],[Arviointikriteeri]]</f>
        <v>1.4 Laatutavoitteet täyttävä vedenlaatu (100 % näytteistä)</v>
      </c>
      <c r="H6" t="str">
        <f>Koontitaulukko10[[#This Row],[Huoltovarmuus]]</f>
        <v>Ei</v>
      </c>
      <c r="I6" t="str">
        <f>Koontitaulukko10[[#This Row],[Vastaus ]]</f>
        <v/>
      </c>
      <c r="J6">
        <f>Koontitaulukko10[[#This Row],[Vastaajan kokoluokka]]</f>
        <v>0</v>
      </c>
      <c r="K6" t="str">
        <f>Koontitaulukko10[[#This Row],[Vastaajan toimiala]]</f>
        <v/>
      </c>
      <c r="L6" t="str">
        <f>Koontitaulukko10[[#This Row],[Kunta]]</f>
        <v/>
      </c>
      <c r="M6" t="str">
        <f>Koontitaulukko10[[#This Row],[Vesilaitoksen nimi]]</f>
        <v/>
      </c>
      <c r="N6" s="73" t="str">
        <f>Koontitaulukko10[[#This Row],[Vastauspvm]]</f>
        <v/>
      </c>
      <c r="O6" s="73"/>
      <c r="P6" s="137"/>
      <c r="Q6" s="137"/>
      <c r="R6" s="137"/>
      <c r="S6" s="137"/>
      <c r="T6" s="137"/>
      <c r="U6" s="137"/>
      <c r="V6" s="137"/>
      <c r="W6" s="137"/>
      <c r="X6" s="137"/>
      <c r="Y6" s="137"/>
    </row>
    <row r="7" spans="1:25" x14ac:dyDescent="0.35">
      <c r="A7" t="str">
        <f>Koontitaulukko10[[#This Row],[Kuuluuko kriteeri kyseisen laitoksen vastattavaksi]]</f>
        <v>Ei kuulu</v>
      </c>
      <c r="B7" t="str">
        <f>Koontitaulukko10[[#This Row],[Extra-kysymys]]</f>
        <v/>
      </c>
      <c r="C7" t="str">
        <f>Koontitaulukko10[[#This Row],[Kriteerin kokoluokka]]</f>
        <v>1,2,3,4</v>
      </c>
      <c r="D7" t="str">
        <f>Koontitaulukko10[[#This Row],[Kriteerin toimiala]]</f>
        <v>B</v>
      </c>
      <c r="E7" t="str">
        <f>Koontitaulukko10[[#This Row],[Pääkategoria]]</f>
        <v>Turvallinen ja toimintavarma</v>
      </c>
      <c r="F7" t="str">
        <f>Koontitaulukko10[[#This Row],[Alakategoria]]</f>
        <v>1. Laadukas, raakaveden laadun huomioiva, kriteerit täyttävä vedenkäsittelyprosessi</v>
      </c>
      <c r="G7" t="str">
        <f>Koontitaulukko10[[#This Row],[Arviointikriteeri]]</f>
        <v>1.5 Vesijohtoverkoston paineettomissa putkirikkokorjauksissa rikkoutunut putkilinjaosuus desinfioidaan tai varmistetaan verkoston mikrobiologinen puhtaus tutkimuksin ennen käyttöönottoa.</v>
      </c>
      <c r="H7" t="str">
        <f>Koontitaulukko10[[#This Row],[Huoltovarmuus]]</f>
        <v>Ei</v>
      </c>
      <c r="I7" t="str">
        <f>Koontitaulukko10[[#This Row],[Vastaus ]]</f>
        <v/>
      </c>
      <c r="J7">
        <f>Koontitaulukko10[[#This Row],[Vastaajan kokoluokka]]</f>
        <v>0</v>
      </c>
      <c r="K7" t="str">
        <f>Koontitaulukko10[[#This Row],[Vastaajan toimiala]]</f>
        <v/>
      </c>
      <c r="L7" t="str">
        <f>Koontitaulukko10[[#This Row],[Kunta]]</f>
        <v/>
      </c>
      <c r="M7" t="str">
        <f>Koontitaulukko10[[#This Row],[Vesilaitoksen nimi]]</f>
        <v/>
      </c>
      <c r="N7" s="73" t="str">
        <f>Koontitaulukko10[[#This Row],[Vastauspvm]]</f>
        <v/>
      </c>
      <c r="O7" s="73"/>
      <c r="P7" s="137"/>
      <c r="Q7" s="137"/>
      <c r="R7" s="137"/>
      <c r="S7" s="137"/>
      <c r="T7" s="137"/>
      <c r="U7" s="137"/>
      <c r="V7" s="137"/>
      <c r="W7" s="137"/>
      <c r="X7" s="137"/>
      <c r="Y7" s="137"/>
    </row>
    <row r="8" spans="1:25" x14ac:dyDescent="0.35">
      <c r="A8" t="str">
        <f>Koontitaulukko10[[#This Row],[Kuuluuko kriteeri kyseisen laitoksen vastattavaksi]]</f>
        <v>Ei kuulu</v>
      </c>
      <c r="B8" t="str">
        <f>Koontitaulukko10[[#This Row],[Extra-kysymys]]</f>
        <v/>
      </c>
      <c r="C8" t="str">
        <f>Koontitaulukko10[[#This Row],[Kriteerin kokoluokka]]</f>
        <v>1,2,3,4</v>
      </c>
      <c r="D8" t="str">
        <f>Koontitaulukko10[[#This Row],[Kriteerin toimiala]]</f>
        <v>B</v>
      </c>
      <c r="E8" t="str">
        <f>Koontitaulukko10[[#This Row],[Pääkategoria]]</f>
        <v>Turvallinen ja toimintavarma</v>
      </c>
      <c r="F8" t="str">
        <f>Koontitaulukko10[[#This Row],[Alakategoria]]</f>
        <v>1. Laadukas, raakaveden laadun huomioiva, kriteerit täyttävä vedenkäsittelyprosessi</v>
      </c>
      <c r="G8" t="str">
        <f>Koontitaulukko10[[#This Row],[Arviointikriteeri]]</f>
        <v>1.6 Vedenjakeluverkoston näytteenottopisteiden edustavuus valvontatutkimusohjelmassa on säännöllisesti varmistettu alueelliset erityispiirteet ja WSP:n tulokset huomioon ottaen.</v>
      </c>
      <c r="H8" t="str">
        <f>Koontitaulukko10[[#This Row],[Huoltovarmuus]]</f>
        <v>Ei</v>
      </c>
      <c r="I8" t="str">
        <f>Koontitaulukko10[[#This Row],[Vastaus ]]</f>
        <v/>
      </c>
      <c r="J8">
        <f>Koontitaulukko10[[#This Row],[Vastaajan kokoluokka]]</f>
        <v>0</v>
      </c>
      <c r="K8" t="str">
        <f>Koontitaulukko10[[#This Row],[Vastaajan toimiala]]</f>
        <v/>
      </c>
      <c r="L8" t="str">
        <f>Koontitaulukko10[[#This Row],[Kunta]]</f>
        <v/>
      </c>
      <c r="M8" t="str">
        <f>Koontitaulukko10[[#This Row],[Vesilaitoksen nimi]]</f>
        <v/>
      </c>
      <c r="N8" s="73" t="str">
        <f>Koontitaulukko10[[#This Row],[Vastauspvm]]</f>
        <v/>
      </c>
      <c r="O8" s="73"/>
      <c r="P8" s="137"/>
      <c r="Q8" s="137"/>
      <c r="R8" s="137"/>
      <c r="S8" s="137"/>
      <c r="T8" s="137"/>
      <c r="U8" s="137"/>
      <c r="V8" s="137"/>
      <c r="W8" s="137"/>
      <c r="X8" s="137"/>
      <c r="Y8" s="137"/>
    </row>
    <row r="9" spans="1:25" x14ac:dyDescent="0.35">
      <c r="A9" t="str">
        <f>Koontitaulukko10[[#This Row],[Kuuluuko kriteeri kyseisen laitoksen vastattavaksi]]</f>
        <v>Ei kuulu</v>
      </c>
      <c r="B9" t="str">
        <f>Koontitaulukko10[[#This Row],[Extra-kysymys]]</f>
        <v/>
      </c>
      <c r="C9" t="str">
        <f>Koontitaulukko10[[#This Row],[Kriteerin kokoluokka]]</f>
        <v>2,3,4</v>
      </c>
      <c r="D9" t="str">
        <f>Koontitaulukko10[[#This Row],[Kriteerin toimiala]]</f>
        <v>A</v>
      </c>
      <c r="E9" t="str">
        <f>Koontitaulukko10[[#This Row],[Pääkategoria]]</f>
        <v>Turvallinen ja toimintavarma</v>
      </c>
      <c r="F9" t="str">
        <f>Koontitaulukko10[[#This Row],[Alakategoria]]</f>
        <v>1. Laadukas, raakaveden laadun huomioiva, kriteerit täyttävä vedenkäsittelyprosessi</v>
      </c>
      <c r="G9" t="str">
        <f>Koontitaulukko10[[#This Row],[Arviointikriteeri]]</f>
        <v>1.7 Talousvesi desinfioidaan jatkuvatoimisesti ennen johtamista vedenjakeluverkostoon tai vesihuoltolaitos on tehnyt riskiarvion, jonka perusteella jatkuvatoimiselle talousveden desinfioinnille ei ole tarvetta</v>
      </c>
      <c r="H9" t="str">
        <f>Koontitaulukko10[[#This Row],[Huoltovarmuus]]</f>
        <v>Ei</v>
      </c>
      <c r="I9" t="str">
        <f>Koontitaulukko10[[#This Row],[Vastaus ]]</f>
        <v/>
      </c>
      <c r="J9">
        <f>Koontitaulukko10[[#This Row],[Vastaajan kokoluokka]]</f>
        <v>0</v>
      </c>
      <c r="K9" t="str">
        <f>Koontitaulukko10[[#This Row],[Vastaajan toimiala]]</f>
        <v/>
      </c>
      <c r="L9" t="str">
        <f>Koontitaulukko10[[#This Row],[Kunta]]</f>
        <v/>
      </c>
      <c r="M9" t="str">
        <f>Koontitaulukko10[[#This Row],[Vesilaitoksen nimi]]</f>
        <v/>
      </c>
      <c r="N9" s="73" t="str">
        <f>Koontitaulukko10[[#This Row],[Vastauspvm]]</f>
        <v/>
      </c>
      <c r="O9" s="73"/>
      <c r="P9" s="137"/>
      <c r="Q9" s="137"/>
      <c r="R9" s="137"/>
      <c r="S9" s="137"/>
      <c r="T9" s="137"/>
      <c r="U9" s="137"/>
      <c r="V9" s="137"/>
      <c r="W9" s="137"/>
      <c r="X9" s="137"/>
      <c r="Y9" s="137"/>
    </row>
    <row r="10" spans="1:25" x14ac:dyDescent="0.35">
      <c r="A10" t="str">
        <f>Koontitaulukko10[[#This Row],[Kuuluuko kriteeri kyseisen laitoksen vastattavaksi]]</f>
        <v>Ei kuulu</v>
      </c>
      <c r="B10" t="str">
        <f>Koontitaulukko10[[#This Row],[Extra-kysymys]]</f>
        <v/>
      </c>
      <c r="C10">
        <f>Koontitaulukko10[[#This Row],[Kriteerin kokoluokka]]</f>
        <v>4</v>
      </c>
      <c r="D10" t="str">
        <f>Koontitaulukko10[[#This Row],[Kriteerin toimiala]]</f>
        <v>A</v>
      </c>
      <c r="E10" t="str">
        <f>Koontitaulukko10[[#This Row],[Pääkategoria]]</f>
        <v>Turvallinen ja toimintavarma</v>
      </c>
      <c r="F10" t="str">
        <f>Koontitaulukko10[[#This Row],[Alakategoria]]</f>
        <v>1. Laadukas, raakaveden laadun huomioiva, kriteerit täyttävä vedenkäsittelyprosessi</v>
      </c>
      <c r="G10" t="str">
        <f>Koontitaulukko10[[#This Row],[Arviointikriteeri]]</f>
        <v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v>
      </c>
      <c r="H10" t="str">
        <f>Koontitaulukko10[[#This Row],[Huoltovarmuus]]</f>
        <v>Ei</v>
      </c>
      <c r="I10" t="str">
        <f>Koontitaulukko10[[#This Row],[Vastaus ]]</f>
        <v/>
      </c>
      <c r="J10">
        <f>Koontitaulukko10[[#This Row],[Vastaajan kokoluokka]]</f>
        <v>0</v>
      </c>
      <c r="K10" t="str">
        <f>Koontitaulukko10[[#This Row],[Vastaajan toimiala]]</f>
        <v/>
      </c>
      <c r="L10" t="str">
        <f>Koontitaulukko10[[#This Row],[Kunta]]</f>
        <v/>
      </c>
      <c r="M10" t="str">
        <f>Koontitaulukko10[[#This Row],[Vesilaitoksen nimi]]</f>
        <v/>
      </c>
      <c r="N10" s="73" t="str">
        <f>Koontitaulukko10[[#This Row],[Vastauspvm]]</f>
        <v/>
      </c>
      <c r="O10" s="73"/>
      <c r="P10" s="137"/>
      <c r="Q10" s="137"/>
      <c r="R10" s="137"/>
      <c r="S10" s="137"/>
      <c r="T10" s="137"/>
      <c r="U10" s="137"/>
      <c r="V10" s="137"/>
      <c r="W10" s="137"/>
      <c r="X10" s="137"/>
      <c r="Y10" s="137"/>
    </row>
    <row r="11" spans="1:25" x14ac:dyDescent="0.35">
      <c r="A11" t="str">
        <f>Koontitaulukko10[[#This Row],[Kuuluuko kriteeri kyseisen laitoksen vastattavaksi]]</f>
        <v>Ei kuulu</v>
      </c>
      <c r="B11" t="str">
        <f>Koontitaulukko10[[#This Row],[Extra-kysymys]]</f>
        <v/>
      </c>
      <c r="C11">
        <f>Koontitaulukko10[[#This Row],[Kriteerin kokoluokka]]</f>
        <v>4</v>
      </c>
      <c r="D11" t="str">
        <f>Koontitaulukko10[[#This Row],[Kriteerin toimiala]]</f>
        <v>A</v>
      </c>
      <c r="E11" t="str">
        <f>Koontitaulukko10[[#This Row],[Pääkategoria]]</f>
        <v>Turvallinen ja toimintavarma</v>
      </c>
      <c r="F11" t="str">
        <f>Koontitaulukko10[[#This Row],[Alakategoria]]</f>
        <v>1. Laadukas, raakaveden laadun huomioiva, kriteerit täyttävä vedenkäsittelyprosessi</v>
      </c>
      <c r="G11" t="str">
        <f>Koontitaulukko10[[#This Row],[Arviointikriteeri]]</f>
        <v>1.9 Talousveden käsittelyprosessin kriittisten toimintojen toimivuutta on varmistettu kahdentamalla (esim. laitteet, vaihtoehtoinen käsittelyprosessi/kemikaali/toimittaja)</v>
      </c>
      <c r="H11" t="str">
        <f>Koontitaulukko10[[#This Row],[Huoltovarmuus]]</f>
        <v>Kyllä</v>
      </c>
      <c r="I11" t="str">
        <f>Koontitaulukko10[[#This Row],[Vastaus ]]</f>
        <v/>
      </c>
      <c r="J11">
        <f>Koontitaulukko10[[#This Row],[Vastaajan kokoluokka]]</f>
        <v>0</v>
      </c>
      <c r="K11" t="str">
        <f>Koontitaulukko10[[#This Row],[Vastaajan toimiala]]</f>
        <v/>
      </c>
      <c r="L11" t="str">
        <f>Koontitaulukko10[[#This Row],[Kunta]]</f>
        <v/>
      </c>
      <c r="M11" t="str">
        <f>Koontitaulukko10[[#This Row],[Vesilaitoksen nimi]]</f>
        <v/>
      </c>
      <c r="N11" s="73" t="str">
        <f>Koontitaulukko10[[#This Row],[Vastauspvm]]</f>
        <v/>
      </c>
      <c r="O11" s="73"/>
      <c r="P11" s="137"/>
      <c r="Q11" s="137"/>
      <c r="R11" s="137"/>
      <c r="S11" s="137"/>
      <c r="T11" s="137"/>
      <c r="U11" s="137"/>
      <c r="V11" s="137"/>
      <c r="W11" s="137"/>
      <c r="X11" s="137"/>
      <c r="Y11" s="137"/>
    </row>
    <row r="12" spans="1:25" x14ac:dyDescent="0.35">
      <c r="A12" t="str">
        <f>Koontitaulukko10[[#This Row],[Kuuluuko kriteeri kyseisen laitoksen vastattavaksi]]</f>
        <v>Ei kuulu</v>
      </c>
      <c r="B12" t="str">
        <f>Koontitaulukko10[[#This Row],[Extra-kysymys]]</f>
        <v/>
      </c>
      <c r="C12">
        <f>Koontitaulukko10[[#This Row],[Kriteerin kokoluokka]]</f>
        <v>4</v>
      </c>
      <c r="D12" t="str">
        <f>Koontitaulukko10[[#This Row],[Kriteerin toimiala]]</f>
        <v>B</v>
      </c>
      <c r="E12" t="str">
        <f>Koontitaulukko10[[#This Row],[Pääkategoria]]</f>
        <v>Turvallinen ja toimintavarma</v>
      </c>
      <c r="F12" t="str">
        <f>Koontitaulukko10[[#This Row],[Alakategoria]]</f>
        <v>1. Laadukas, raakaveden laadun huomioiva, kriteerit täyttävä vedenkäsittelyprosessi</v>
      </c>
      <c r="G12" t="str">
        <f>Koontitaulukko10[[#This Row],[Arviointikriteeri]]</f>
        <v>1.10. Vesilaitoksella on käytössä omassa tai ulkopuolisen hallinnassa oleva verkostomalli vedenjakelun varmistamiseen ja kehittämiseen.</v>
      </c>
      <c r="H12" t="str">
        <f>Koontitaulukko10[[#This Row],[Huoltovarmuus]]</f>
        <v>Ei</v>
      </c>
      <c r="I12" t="str">
        <f>Koontitaulukko10[[#This Row],[Vastaus ]]</f>
        <v/>
      </c>
      <c r="J12">
        <f>Koontitaulukko10[[#This Row],[Vastaajan kokoluokka]]</f>
        <v>0</v>
      </c>
      <c r="K12" t="str">
        <f>Koontitaulukko10[[#This Row],[Vastaajan toimiala]]</f>
        <v/>
      </c>
      <c r="L12" t="str">
        <f>Koontitaulukko10[[#This Row],[Kunta]]</f>
        <v/>
      </c>
      <c r="M12" t="str">
        <f>Koontitaulukko10[[#This Row],[Vesilaitoksen nimi]]</f>
        <v/>
      </c>
      <c r="N12" s="73" t="str">
        <f>Koontitaulukko10[[#This Row],[Vastauspvm]]</f>
        <v/>
      </c>
      <c r="O12" s="73"/>
      <c r="P12" s="137"/>
      <c r="Q12" s="137"/>
      <c r="R12" s="137"/>
      <c r="S12" s="137"/>
      <c r="T12" s="137"/>
      <c r="U12" s="137"/>
      <c r="V12" s="137"/>
      <c r="W12" s="137"/>
      <c r="X12" s="137"/>
      <c r="Y12" s="137"/>
    </row>
    <row r="13" spans="1:25" x14ac:dyDescent="0.35">
      <c r="A13" t="str">
        <f>Koontitaulukko10[[#This Row],[Kuuluuko kriteeri kyseisen laitoksen vastattavaksi]]</f>
        <v>Ei kuulu</v>
      </c>
      <c r="B13" t="str">
        <f>Koontitaulukko10[[#This Row],[Extra-kysymys]]</f>
        <v/>
      </c>
      <c r="C13">
        <f>Koontitaulukko10[[#This Row],[Kriteerin kokoluokka]]</f>
        <v>5</v>
      </c>
      <c r="D13" t="str">
        <f>Koontitaulukko10[[#This Row],[Kriteerin toimiala]]</f>
        <v>A</v>
      </c>
      <c r="E13" t="str">
        <f>Koontitaulukko10[[#This Row],[Pääkategoria]]</f>
        <v>Turvallinen ja toimintavarma</v>
      </c>
      <c r="F13" t="str">
        <f>Koontitaulukko10[[#This Row],[Alakategoria]]</f>
        <v>1. Laadukas, raakaveden laadun huomioiva, kriteerit täyttävä vedenkäsittelyprosessi</v>
      </c>
      <c r="G13" t="str">
        <f>Koontitaulukko10[[#This Row],[Arviointikriteeri]]</f>
        <v xml:space="preserve">1.11 Talousveden käsittelyprosessin poistoteho on kemiallisen saastumisen tilanteessa arvioitu ja prosessia voidaan tarvittaessa tehostaa. (esim. aktiivihiilen syöttö) </v>
      </c>
      <c r="H13" t="str">
        <f>Koontitaulukko10[[#This Row],[Huoltovarmuus]]</f>
        <v>Ei</v>
      </c>
      <c r="I13" t="str">
        <f>Koontitaulukko10[[#This Row],[Vastaus ]]</f>
        <v/>
      </c>
      <c r="J13">
        <f>Koontitaulukko10[[#This Row],[Vastaajan kokoluokka]]</f>
        <v>0</v>
      </c>
      <c r="K13" t="str">
        <f>Koontitaulukko10[[#This Row],[Vastaajan toimiala]]</f>
        <v/>
      </c>
      <c r="L13" t="str">
        <f>Koontitaulukko10[[#This Row],[Kunta]]</f>
        <v/>
      </c>
      <c r="M13" t="str">
        <f>Koontitaulukko10[[#This Row],[Vesilaitoksen nimi]]</f>
        <v/>
      </c>
      <c r="N13" s="73" t="str">
        <f>Koontitaulukko10[[#This Row],[Vastauspvm]]</f>
        <v/>
      </c>
      <c r="O13" s="73"/>
      <c r="P13" s="137"/>
      <c r="Q13" s="137"/>
      <c r="R13" s="137"/>
      <c r="S13" s="137"/>
      <c r="T13" s="137"/>
      <c r="U13" s="137"/>
      <c r="V13" s="137"/>
      <c r="W13" s="137"/>
      <c r="X13" s="137"/>
      <c r="Y13" s="137"/>
    </row>
    <row r="14" spans="1:25" hidden="1" x14ac:dyDescent="0.35">
      <c r="A14" t="str">
        <f>Koontitaulukko10[[#This Row],[Kuuluuko kriteeri kyseisen laitoksen vastattavaksi]]</f>
        <v>Ei kuulu</v>
      </c>
      <c r="B14" t="str">
        <f>Koontitaulukko10[[#This Row],[Extra-kysymys]]</f>
        <v/>
      </c>
      <c r="C14" t="str">
        <f>Koontitaulukko10[[#This Row],[Kriteerin kokoluokka]]</f>
        <v xml:space="preserve">1,2,3,4 </v>
      </c>
      <c r="D14" t="str">
        <f>Koontitaulukko10[[#This Row],[Kriteerin toimiala]]</f>
        <v>A,B,C,D</v>
      </c>
      <c r="E14" t="str">
        <f>Koontitaulukko10[[#This Row],[Pääkategoria]]</f>
        <v>Turvallinen ja toimintavarma</v>
      </c>
      <c r="F14" t="str">
        <f>Koontitaulukko10[[#This Row],[Alakategoria]]</f>
        <v>_Otsikkorivi</v>
      </c>
      <c r="G14" t="str">
        <f>Koontitaulukko10[[#This Row],[Arviointikriteeri]]</f>
        <v>2. Ajantasainen varautumis- ja valmiussuunnittelu ja yhteistyö muiden toimijoiden kanssa</v>
      </c>
      <c r="H14" t="str">
        <f>Koontitaulukko10[[#This Row],[Huoltovarmuus]]</f>
        <v>Ei</v>
      </c>
      <c r="I14" t="str">
        <f>Koontitaulukko10[[#This Row],[Vastaus ]]</f>
        <v/>
      </c>
      <c r="J14">
        <f>Koontitaulukko10[[#This Row],[Vastaajan kokoluokka]]</f>
        <v>0</v>
      </c>
      <c r="K14" t="str">
        <f>Koontitaulukko10[[#This Row],[Vastaajan toimiala]]</f>
        <v/>
      </c>
      <c r="L14" t="str">
        <f>Koontitaulukko10[[#This Row],[Kunta]]</f>
        <v/>
      </c>
      <c r="M14" t="str">
        <f>Koontitaulukko10[[#This Row],[Vesilaitoksen nimi]]</f>
        <v/>
      </c>
      <c r="N14" s="73" t="str">
        <f>Koontitaulukko10[[#This Row],[Vastauspvm]]</f>
        <v/>
      </c>
      <c r="O14" s="73"/>
      <c r="P14" s="137"/>
      <c r="Q14" s="137"/>
      <c r="R14" s="137"/>
      <c r="S14" s="137"/>
      <c r="T14" s="137"/>
      <c r="U14" s="137"/>
      <c r="V14" s="137"/>
      <c r="W14" s="137"/>
      <c r="X14" s="137"/>
      <c r="Y14" s="137"/>
    </row>
    <row r="15" spans="1:25" x14ac:dyDescent="0.35">
      <c r="A15" t="str">
        <f>Koontitaulukko10[[#This Row],[Kuuluuko kriteeri kyseisen laitoksen vastattavaksi]]</f>
        <v>Ei kuulu</v>
      </c>
      <c r="B15" t="str">
        <f>Koontitaulukko10[[#This Row],[Extra-kysymys]]</f>
        <v/>
      </c>
      <c r="C15" t="str">
        <f>Koontitaulukko10[[#This Row],[Kriteerin kokoluokka]]</f>
        <v>1,2,3,4</v>
      </c>
      <c r="D15" t="str">
        <f>Koontitaulukko10[[#This Row],[Kriteerin toimiala]]</f>
        <v>A,B,C,D</v>
      </c>
      <c r="E15" t="str">
        <f>Koontitaulukko10[[#This Row],[Pääkategoria]]</f>
        <v>Turvallinen ja toimintavarma</v>
      </c>
      <c r="F15" t="str">
        <f>Koontitaulukko10[[#This Row],[Alakategoria]]</f>
        <v>2. Ajantasainen varautumis- ja valmiussuunnittelu ja yhteistyö muiden toimijoiden kanssa</v>
      </c>
      <c r="G15" t="str">
        <f>Koontitaulukko10[[#This Row],[Arviointikriteeri]]</f>
        <v>2.1 Vesihuoltolaitoksella on vähintään vuosittain arvioitava ja tarvittaessa päivitettävä varautumissuunnitelma</v>
      </c>
      <c r="H15" t="str">
        <f>Koontitaulukko10[[#This Row],[Huoltovarmuus]]</f>
        <v>Kyllä</v>
      </c>
      <c r="I15" t="str">
        <f>Koontitaulukko10[[#This Row],[Vastaus ]]</f>
        <v/>
      </c>
      <c r="J15">
        <f>Koontitaulukko10[[#This Row],[Vastaajan kokoluokka]]</f>
        <v>0</v>
      </c>
      <c r="K15" t="str">
        <f>Koontitaulukko10[[#This Row],[Vastaajan toimiala]]</f>
        <v/>
      </c>
      <c r="L15" t="str">
        <f>Koontitaulukko10[[#This Row],[Kunta]]</f>
        <v/>
      </c>
      <c r="M15" t="str">
        <f>Koontitaulukko10[[#This Row],[Vesilaitoksen nimi]]</f>
        <v/>
      </c>
      <c r="N15" s="73" t="str">
        <f>Koontitaulukko10[[#This Row],[Vastauspvm]]</f>
        <v/>
      </c>
      <c r="O15" s="73"/>
      <c r="P15" s="137"/>
      <c r="Q15" s="137"/>
      <c r="R15" s="137"/>
      <c r="S15" s="137"/>
      <c r="T15" s="137"/>
      <c r="U15" s="137"/>
      <c r="V15" s="137"/>
      <c r="W15" s="137"/>
      <c r="X15" s="137"/>
      <c r="Y15" s="137"/>
    </row>
    <row r="16" spans="1:25" x14ac:dyDescent="0.35">
      <c r="A16" t="str">
        <f>Koontitaulukko10[[#This Row],[Kuuluuko kriteeri kyseisen laitoksen vastattavaksi]]</f>
        <v>Ei kuulu</v>
      </c>
      <c r="B16" t="str">
        <f>Koontitaulukko10[[#This Row],[Extra-kysymys]]</f>
        <v/>
      </c>
      <c r="C16" t="str">
        <f>Koontitaulukko10[[#This Row],[Kriteerin kokoluokka]]</f>
        <v>1,2,3,4</v>
      </c>
      <c r="D16" t="str">
        <f>Koontitaulukko10[[#This Row],[Kriteerin toimiala]]</f>
        <v>A,B</v>
      </c>
      <c r="E16" t="str">
        <f>Koontitaulukko10[[#This Row],[Pääkategoria]]</f>
        <v>Turvallinen ja toimintavarma</v>
      </c>
      <c r="F16" t="str">
        <f>Koontitaulukko10[[#This Row],[Alakategoria]]</f>
        <v>2. Ajantasainen varautumis- ja valmiussuunnittelu ja yhteistyö muiden toimijoiden kanssa</v>
      </c>
      <c r="G16" t="str">
        <f>Koontitaulukko10[[#This Row],[Arviointikriteeri]]</f>
        <v>2.2 Talousveden laaturiskejä arvioidaan ja riskienhallintaa kehitetään ja sen toimivuutta seurataan systemaattisesti esim. WSP-työkalun avulla</v>
      </c>
      <c r="H16" t="str">
        <f>Koontitaulukko10[[#This Row],[Huoltovarmuus]]</f>
        <v>Kyllä</v>
      </c>
      <c r="I16" t="str">
        <f>Koontitaulukko10[[#This Row],[Vastaus ]]</f>
        <v/>
      </c>
      <c r="J16">
        <f>Koontitaulukko10[[#This Row],[Vastaajan kokoluokka]]</f>
        <v>0</v>
      </c>
      <c r="K16" t="str">
        <f>Koontitaulukko10[[#This Row],[Vastaajan toimiala]]</f>
        <v/>
      </c>
      <c r="L16" t="str">
        <f>Koontitaulukko10[[#This Row],[Kunta]]</f>
        <v/>
      </c>
      <c r="M16" t="str">
        <f>Koontitaulukko10[[#This Row],[Vesilaitoksen nimi]]</f>
        <v/>
      </c>
      <c r="N16" s="73" t="str">
        <f>Koontitaulukko10[[#This Row],[Vastauspvm]]</f>
        <v/>
      </c>
      <c r="O16" s="73"/>
      <c r="P16" s="137"/>
      <c r="Q16" s="137"/>
      <c r="R16" s="137"/>
      <c r="S16" s="137"/>
      <c r="T16" s="137"/>
      <c r="U16" s="137"/>
      <c r="V16" s="137"/>
      <c r="W16" s="137"/>
      <c r="X16" s="137"/>
      <c r="Y16" s="137"/>
    </row>
    <row r="17" spans="1:25" x14ac:dyDescent="0.35">
      <c r="A17" t="str">
        <f>Koontitaulukko10[[#This Row],[Kuuluuko kriteeri kyseisen laitoksen vastattavaksi]]</f>
        <v>Ei kuulu</v>
      </c>
      <c r="B17" t="str">
        <f>Koontitaulukko10[[#This Row],[Extra-kysymys]]</f>
        <v/>
      </c>
      <c r="C17" t="str">
        <f>Koontitaulukko10[[#This Row],[Kriteerin kokoluokka]]</f>
        <v>1,2,3,4</v>
      </c>
      <c r="D17" t="str">
        <f>Koontitaulukko10[[#This Row],[Kriteerin toimiala]]</f>
        <v>C,D</v>
      </c>
      <c r="E17" t="str">
        <f>Koontitaulukko10[[#This Row],[Pääkategoria]]</f>
        <v>Turvallinen ja toimintavarma</v>
      </c>
      <c r="F17" t="str">
        <f>Koontitaulukko10[[#This Row],[Alakategoria]]</f>
        <v>2. Ajantasainen varautumis- ja valmiussuunnittelu ja yhteistyö muiden toimijoiden kanssa</v>
      </c>
      <c r="G17" t="str">
        <f>Koontitaulukko10[[#This Row],[Arviointikriteeri]]</f>
        <v>2.3 Viemäröinnin ja jätevedenpuhdistuksen ympäristö- ja terveysriskejä arvioidaan ja riskienhallintaa kehitetään systemaattisesti esim. SSP-työkalun avulla</v>
      </c>
      <c r="H17" t="str">
        <f>Koontitaulukko10[[#This Row],[Huoltovarmuus]]</f>
        <v>Kyllä</v>
      </c>
      <c r="I17" t="str">
        <f>Koontitaulukko10[[#This Row],[Vastaus ]]</f>
        <v/>
      </c>
      <c r="J17">
        <f>Koontitaulukko10[[#This Row],[Vastaajan kokoluokka]]</f>
        <v>0</v>
      </c>
      <c r="K17" t="str">
        <f>Koontitaulukko10[[#This Row],[Vastaajan toimiala]]</f>
        <v/>
      </c>
      <c r="L17" t="str">
        <f>Koontitaulukko10[[#This Row],[Kunta]]</f>
        <v/>
      </c>
      <c r="M17" t="str">
        <f>Koontitaulukko10[[#This Row],[Vesilaitoksen nimi]]</f>
        <v/>
      </c>
      <c r="N17" s="73" t="str">
        <f>Koontitaulukko10[[#This Row],[Vastauspvm]]</f>
        <v/>
      </c>
      <c r="O17" s="73"/>
      <c r="P17" s="137"/>
      <c r="Q17" s="137"/>
      <c r="R17" s="137"/>
      <c r="S17" s="137"/>
      <c r="T17" s="137"/>
      <c r="U17" s="137"/>
      <c r="V17" s="137"/>
      <c r="W17" s="137"/>
      <c r="X17" s="137"/>
      <c r="Y17" s="137"/>
    </row>
    <row r="18" spans="1:25" x14ac:dyDescent="0.35">
      <c r="A18" t="str">
        <f>Koontitaulukko10[[#This Row],[Kuuluuko kriteeri kyseisen laitoksen vastattavaksi]]</f>
        <v>Ei kuulu</v>
      </c>
      <c r="B18" t="str">
        <f>Koontitaulukko10[[#This Row],[Extra-kysymys]]</f>
        <v/>
      </c>
      <c r="C18" t="str">
        <f>Koontitaulukko10[[#This Row],[Kriteerin kokoluokka]]</f>
        <v>1,2,3,4</v>
      </c>
      <c r="D18" t="str">
        <f>Koontitaulukko10[[#This Row],[Kriteerin toimiala]]</f>
        <v>A,B,C,D</v>
      </c>
      <c r="E18" t="str">
        <f>Koontitaulukko10[[#This Row],[Pääkategoria]]</f>
        <v>Turvallinen ja toimintavarma</v>
      </c>
      <c r="F18" t="str">
        <f>Koontitaulukko10[[#This Row],[Alakategoria]]</f>
        <v>2. Ajantasainen varautumis- ja valmiussuunnittelu ja yhteistyö muiden toimijoiden kanssa</v>
      </c>
      <c r="G18" t="str">
        <f>Koontitaulukko10[[#This Row],[Arviointikriteeri]]</f>
        <v>2.4 Vesihuoltolaitoksella on tehty häiriötilanneharjoittelu vuoden sisällä yhdessä sidosryhmien kanssa (tai 3 vuoden sisällä jos ei omaa vedentuotantoa)</v>
      </c>
      <c r="H18" t="str">
        <f>Koontitaulukko10[[#This Row],[Huoltovarmuus]]</f>
        <v>Kyllä</v>
      </c>
      <c r="I18" t="str">
        <f>Koontitaulukko10[[#This Row],[Vastaus ]]</f>
        <v/>
      </c>
      <c r="J18">
        <f>Koontitaulukko10[[#This Row],[Vastaajan kokoluokka]]</f>
        <v>0</v>
      </c>
      <c r="K18" t="str">
        <f>Koontitaulukko10[[#This Row],[Vastaajan toimiala]]</f>
        <v/>
      </c>
      <c r="L18" t="str">
        <f>Koontitaulukko10[[#This Row],[Kunta]]</f>
        <v/>
      </c>
      <c r="M18" t="str">
        <f>Koontitaulukko10[[#This Row],[Vesilaitoksen nimi]]</f>
        <v/>
      </c>
      <c r="N18" s="73" t="str">
        <f>Koontitaulukko10[[#This Row],[Vastauspvm]]</f>
        <v/>
      </c>
      <c r="O18" s="73"/>
      <c r="P18" s="137"/>
      <c r="Q18" s="137"/>
      <c r="R18" s="137"/>
      <c r="S18" s="137"/>
      <c r="T18" s="137"/>
      <c r="U18" s="137"/>
      <c r="V18" s="137"/>
      <c r="W18" s="137"/>
      <c r="X18" s="137"/>
      <c r="Y18" s="137"/>
    </row>
    <row r="19" spans="1:25" x14ac:dyDescent="0.35">
      <c r="A19" t="str">
        <f>Koontitaulukko10[[#This Row],[Kuuluuko kriteeri kyseisen laitoksen vastattavaksi]]</f>
        <v>Ei kuulu</v>
      </c>
      <c r="B19" t="str">
        <f>Koontitaulukko10[[#This Row],[Extra-kysymys]]</f>
        <v/>
      </c>
      <c r="C19" t="str">
        <f>Koontitaulukko10[[#This Row],[Kriteerin kokoluokka]]</f>
        <v>1,2,3,4</v>
      </c>
      <c r="D19" t="str">
        <f>Koontitaulukko10[[#This Row],[Kriteerin toimiala]]</f>
        <v>A,B,C,D</v>
      </c>
      <c r="E19" t="str">
        <f>Koontitaulukko10[[#This Row],[Pääkategoria]]</f>
        <v>Turvallinen ja toimintavarma</v>
      </c>
      <c r="F19" t="str">
        <f>Koontitaulukko10[[#This Row],[Alakategoria]]</f>
        <v>2. Ajantasainen varautumis- ja valmiussuunnittelu ja yhteistyö muiden toimijoiden kanssa</v>
      </c>
      <c r="G19" t="str">
        <f>Koontitaulukko10[[#This Row],[Arviointikriteeri]]</f>
        <v>2.5 Vesihuoltopalvelun jatkuvuuden kannalta kriittiset perustoiminnot (esim. veden hankinta, veden käsittely, viemäröinti, jäteveden käsittely jne.) on tunnistettu.</v>
      </c>
      <c r="H19" t="str">
        <f>Koontitaulukko10[[#This Row],[Huoltovarmuus]]</f>
        <v>Kyllä</v>
      </c>
      <c r="I19" t="str">
        <f>Koontitaulukko10[[#This Row],[Vastaus ]]</f>
        <v/>
      </c>
      <c r="J19">
        <f>Koontitaulukko10[[#This Row],[Vastaajan kokoluokka]]</f>
        <v>0</v>
      </c>
      <c r="K19" t="str">
        <f>Koontitaulukko10[[#This Row],[Vastaajan toimiala]]</f>
        <v/>
      </c>
      <c r="L19" t="str">
        <f>Koontitaulukko10[[#This Row],[Kunta]]</f>
        <v/>
      </c>
      <c r="M19" t="str">
        <f>Koontitaulukko10[[#This Row],[Vesilaitoksen nimi]]</f>
        <v/>
      </c>
      <c r="N19" s="73" t="str">
        <f>Koontitaulukko10[[#This Row],[Vastauspvm]]</f>
        <v/>
      </c>
      <c r="O19" s="73"/>
      <c r="P19" s="137"/>
      <c r="Q19" s="137"/>
      <c r="R19" s="137"/>
      <c r="S19" s="137"/>
      <c r="T19" s="137"/>
      <c r="U19" s="137"/>
      <c r="V19" s="137"/>
      <c r="W19" s="137"/>
      <c r="X19" s="137"/>
      <c r="Y19" s="137"/>
    </row>
    <row r="20" spans="1:25" x14ac:dyDescent="0.35">
      <c r="A20" t="str">
        <f>Koontitaulukko10[[#This Row],[Kuuluuko kriteeri kyseisen laitoksen vastattavaksi]]</f>
        <v>Ei kuulu</v>
      </c>
      <c r="B20" t="str">
        <f>Koontitaulukko10[[#This Row],[Extra-kysymys]]</f>
        <v/>
      </c>
      <c r="C20" t="str">
        <f>Koontitaulukko10[[#This Row],[Kriteerin kokoluokka]]</f>
        <v>1,2,3,4</v>
      </c>
      <c r="D20" t="str">
        <f>Koontitaulukko10[[#This Row],[Kriteerin toimiala]]</f>
        <v>A,B</v>
      </c>
      <c r="E20" t="str">
        <f>Koontitaulukko10[[#This Row],[Pääkategoria]]</f>
        <v>Turvallinen ja toimintavarma</v>
      </c>
      <c r="F20" t="str">
        <f>Koontitaulukko10[[#This Row],[Alakategoria]]</f>
        <v>2. Ajantasainen varautumis- ja valmiussuunnittelu ja yhteistyö muiden toimijoiden kanssa</v>
      </c>
      <c r="G20" t="str">
        <f>Koontitaulukko10[[#This Row],[Arviointikriteeri]]</f>
        <v>2.6 Varavedenottamot, varavesilaitokset ja/tai varavesiyhteydet ovat joko jatkuvassa käytössä tai niiden toimintavalmius varmistetaan (esim. näytteenotoin ja koekäyttämällä) säännöllisesti vähintään vuosittain.</v>
      </c>
      <c r="H20" t="str">
        <f>Koontitaulukko10[[#This Row],[Huoltovarmuus]]</f>
        <v>Kyllä</v>
      </c>
      <c r="I20" t="str">
        <f>Koontitaulukko10[[#This Row],[Vastaus ]]</f>
        <v/>
      </c>
      <c r="J20">
        <f>Koontitaulukko10[[#This Row],[Vastaajan kokoluokka]]</f>
        <v>0</v>
      </c>
      <c r="K20" t="str">
        <f>Koontitaulukko10[[#This Row],[Vastaajan toimiala]]</f>
        <v/>
      </c>
      <c r="L20" t="str">
        <f>Koontitaulukko10[[#This Row],[Kunta]]</f>
        <v/>
      </c>
      <c r="M20" t="str">
        <f>Koontitaulukko10[[#This Row],[Vesilaitoksen nimi]]</f>
        <v/>
      </c>
      <c r="N20" s="73" t="str">
        <f>Koontitaulukko10[[#This Row],[Vastauspvm]]</f>
        <v/>
      </c>
      <c r="O20" s="73"/>
      <c r="P20" s="137"/>
      <c r="Q20" s="137"/>
      <c r="R20" s="137"/>
      <c r="S20" s="137"/>
      <c r="T20" s="137"/>
      <c r="U20" s="137"/>
      <c r="V20" s="137"/>
      <c r="W20" s="137"/>
      <c r="X20" s="137"/>
      <c r="Y20" s="137"/>
    </row>
    <row r="21" spans="1:25" x14ac:dyDescent="0.35">
      <c r="A21" t="str">
        <f>Koontitaulukko10[[#This Row],[Kuuluuko kriteeri kyseisen laitoksen vastattavaksi]]</f>
        <v>Ei kuulu</v>
      </c>
      <c r="B21" t="str">
        <f>Koontitaulukko10[[#This Row],[Extra-kysymys]]</f>
        <v/>
      </c>
      <c r="C21" t="str">
        <f>Koontitaulukko10[[#This Row],[Kriteerin kokoluokka]]</f>
        <v>1,2,3,4</v>
      </c>
      <c r="D21" t="str">
        <f>Koontitaulukko10[[#This Row],[Kriteerin toimiala]]</f>
        <v>A,B,C,D</v>
      </c>
      <c r="E21" t="str">
        <f>Koontitaulukko10[[#This Row],[Pääkategoria]]</f>
        <v>Turvallinen ja toimintavarma</v>
      </c>
      <c r="F21" t="str">
        <f>Koontitaulukko10[[#This Row],[Alakategoria]]</f>
        <v>2. Ajantasainen varautumis- ja valmiussuunnittelu ja yhteistyö muiden toimijoiden kanssa</v>
      </c>
      <c r="G21" t="str">
        <f>Koontitaulukko10[[#This Row],[Arviointikriteeri]]</f>
        <v>2.7 Vesihuoltolaitos hallitsee riskiperusteisesti ja oikeasuhtaisesti ilmastonmuutoksen toiminnalleen aiheuttamia riskejä.</v>
      </c>
      <c r="H21" t="str">
        <f>Koontitaulukko10[[#This Row],[Huoltovarmuus]]</f>
        <v>Kyllä</v>
      </c>
      <c r="I21" t="str">
        <f>Koontitaulukko10[[#This Row],[Vastaus ]]</f>
        <v/>
      </c>
      <c r="J21">
        <f>Koontitaulukko10[[#This Row],[Vastaajan kokoluokka]]</f>
        <v>0</v>
      </c>
      <c r="K21" t="str">
        <f>Koontitaulukko10[[#This Row],[Vastaajan toimiala]]</f>
        <v/>
      </c>
      <c r="L21" t="str">
        <f>Koontitaulukko10[[#This Row],[Kunta]]</f>
        <v/>
      </c>
      <c r="M21" t="str">
        <f>Koontitaulukko10[[#This Row],[Vesilaitoksen nimi]]</f>
        <v/>
      </c>
      <c r="N21" s="73" t="str">
        <f>Koontitaulukko10[[#This Row],[Vastauspvm]]</f>
        <v/>
      </c>
      <c r="O21" s="73"/>
      <c r="P21" s="137"/>
      <c r="Q21" s="137"/>
      <c r="R21" s="137"/>
      <c r="S21" s="137"/>
      <c r="T21" s="137"/>
      <c r="U21" s="137"/>
      <c r="V21" s="137"/>
      <c r="W21" s="137"/>
      <c r="X21" s="137"/>
      <c r="Y21" s="137"/>
    </row>
    <row r="22" spans="1:25" x14ac:dyDescent="0.35">
      <c r="A22" t="str">
        <f>Koontitaulukko10[[#This Row],[Kuuluuko kriteeri kyseisen laitoksen vastattavaksi]]</f>
        <v>Ei kuulu</v>
      </c>
      <c r="B22" t="str">
        <f>Koontitaulukko10[[#This Row],[Extra-kysymys]]</f>
        <v/>
      </c>
      <c r="C22" t="str">
        <f>Koontitaulukko10[[#This Row],[Kriteerin kokoluokka]]</f>
        <v>1,2,3,4</v>
      </c>
      <c r="D22" t="str">
        <f>Koontitaulukko10[[#This Row],[Kriteerin toimiala]]</f>
        <v>A,B,C,D</v>
      </c>
      <c r="E22" t="str">
        <f>Koontitaulukko10[[#This Row],[Pääkategoria]]</f>
        <v>Turvallinen ja toimintavarma</v>
      </c>
      <c r="F22" t="str">
        <f>Koontitaulukko10[[#This Row],[Alakategoria]]</f>
        <v>2. Ajantasainen varautumis- ja valmiussuunnittelu ja yhteistyö muiden toimijoiden kanssa</v>
      </c>
      <c r="G22" t="str">
        <f>Koontitaulukko10[[#This Row],[Arviointikriteeri]]</f>
        <v xml:space="preserve">2.8 Toiminnan kannalta kriittisimmät automaatio- ja ICT-järjestelmät on tunnistettu ja niiden tietoturvaa hallitaan riskiperusteisesti. </v>
      </c>
      <c r="H22" t="str">
        <f>Koontitaulukko10[[#This Row],[Huoltovarmuus]]</f>
        <v>Kyllä</v>
      </c>
      <c r="I22" t="str">
        <f>Koontitaulukko10[[#This Row],[Vastaus ]]</f>
        <v/>
      </c>
      <c r="J22">
        <f>Koontitaulukko10[[#This Row],[Vastaajan kokoluokka]]</f>
        <v>0</v>
      </c>
      <c r="K22" t="str">
        <f>Koontitaulukko10[[#This Row],[Vastaajan toimiala]]</f>
        <v/>
      </c>
      <c r="L22" t="str">
        <f>Koontitaulukko10[[#This Row],[Kunta]]</f>
        <v/>
      </c>
      <c r="M22" t="str">
        <f>Koontitaulukko10[[#This Row],[Vesilaitoksen nimi]]</f>
        <v/>
      </c>
      <c r="N22" s="73" t="str">
        <f>Koontitaulukko10[[#This Row],[Vastauspvm]]</f>
        <v/>
      </c>
      <c r="O22" s="73"/>
      <c r="P22" s="137"/>
      <c r="Q22" s="137"/>
      <c r="R22" s="137"/>
      <c r="S22" s="137"/>
      <c r="T22" s="137"/>
      <c r="U22" s="137"/>
      <c r="V22" s="137"/>
      <c r="W22" s="137"/>
      <c r="X22" s="137"/>
      <c r="Y22" s="137"/>
    </row>
    <row r="23" spans="1:25" x14ac:dyDescent="0.35">
      <c r="A23" t="str">
        <f>Koontitaulukko10[[#This Row],[Kuuluuko kriteeri kyseisen laitoksen vastattavaksi]]</f>
        <v>Ei kuulu</v>
      </c>
      <c r="B23" t="str">
        <f>Koontitaulukko10[[#This Row],[Extra-kysymys]]</f>
        <v/>
      </c>
      <c r="C23" t="str">
        <f>Koontitaulukko10[[#This Row],[Kriteerin kokoluokka]]</f>
        <v>1,2,3,4</v>
      </c>
      <c r="D23" t="str">
        <f>Koontitaulukko10[[#This Row],[Kriteerin toimiala]]</f>
        <v>A,B,C,D</v>
      </c>
      <c r="E23" t="str">
        <f>Koontitaulukko10[[#This Row],[Pääkategoria]]</f>
        <v>Turvallinen ja toimintavarma</v>
      </c>
      <c r="F23" t="str">
        <f>Koontitaulukko10[[#This Row],[Alakategoria]]</f>
        <v>2. Ajantasainen varautumis- ja valmiussuunnittelu ja yhteistyö muiden toimijoiden kanssa</v>
      </c>
      <c r="G23" t="str">
        <f>Koontitaulukko10[[#This Row],[Arviointikriteeri]]</f>
        <v>2.9 Vesihuoltolaitos pitää henkilöstön VAP-varaukset ajan tasalla.</v>
      </c>
      <c r="H23" t="str">
        <f>Koontitaulukko10[[#This Row],[Huoltovarmuus]]</f>
        <v>Kyllä</v>
      </c>
      <c r="I23" t="str">
        <f>Koontitaulukko10[[#This Row],[Vastaus ]]</f>
        <v/>
      </c>
      <c r="J23">
        <f>Koontitaulukko10[[#This Row],[Vastaajan kokoluokka]]</f>
        <v>0</v>
      </c>
      <c r="K23" t="str">
        <f>Koontitaulukko10[[#This Row],[Vastaajan toimiala]]</f>
        <v/>
      </c>
      <c r="L23" t="str">
        <f>Koontitaulukko10[[#This Row],[Kunta]]</f>
        <v/>
      </c>
      <c r="M23" t="str">
        <f>Koontitaulukko10[[#This Row],[Vesilaitoksen nimi]]</f>
        <v/>
      </c>
      <c r="N23" s="73" t="str">
        <f>Koontitaulukko10[[#This Row],[Vastauspvm]]</f>
        <v/>
      </c>
      <c r="O23" s="73"/>
    </row>
    <row r="24" spans="1:25" x14ac:dyDescent="0.35">
      <c r="A24" t="str">
        <f>Koontitaulukko10[[#This Row],[Kuuluuko kriteeri kyseisen laitoksen vastattavaksi]]</f>
        <v>Ei kuulu</v>
      </c>
      <c r="B24" t="str">
        <f>Koontitaulukko10[[#This Row],[Extra-kysymys]]</f>
        <v/>
      </c>
      <c r="C24" t="str">
        <f>Koontitaulukko10[[#This Row],[Kriteerin kokoluokka]]</f>
        <v>1,2,3,4</v>
      </c>
      <c r="D24" t="str">
        <f>Koontitaulukko10[[#This Row],[Kriteerin toimiala]]</f>
        <v>A,B,C,D</v>
      </c>
      <c r="E24" t="str">
        <f>Koontitaulukko10[[#This Row],[Pääkategoria]]</f>
        <v>Turvallinen ja toimintavarma</v>
      </c>
      <c r="F24" t="str">
        <f>Koontitaulukko10[[#This Row],[Alakategoria]]</f>
        <v>2. Ajantasainen varautumis- ja valmiussuunnittelu ja yhteistyö muiden toimijoiden kanssa</v>
      </c>
      <c r="G24" t="str">
        <f>Koontitaulukko10[[#This Row],[Arviointikriteeri]]</f>
        <v>2.10 Häiriötilanteisiin varautumisessa tehdään yhteistyötä viranomaisten, kunnan, materiaalitoimittajien, palveluntarjoajien, asiakkaiden ja muiden sidosryhmien kanssa.</v>
      </c>
      <c r="H24" t="str">
        <f>Koontitaulukko10[[#This Row],[Huoltovarmuus]]</f>
        <v>Kyllä</v>
      </c>
      <c r="I24" t="str">
        <f>Koontitaulukko10[[#This Row],[Vastaus ]]</f>
        <v/>
      </c>
      <c r="J24">
        <f>Koontitaulukko10[[#This Row],[Vastaajan kokoluokka]]</f>
        <v>0</v>
      </c>
      <c r="K24" t="str">
        <f>Koontitaulukko10[[#This Row],[Vastaajan toimiala]]</f>
        <v/>
      </c>
      <c r="L24" t="str">
        <f>Koontitaulukko10[[#This Row],[Kunta]]</f>
        <v/>
      </c>
      <c r="M24" t="str">
        <f>Koontitaulukko10[[#This Row],[Vesilaitoksen nimi]]</f>
        <v/>
      </c>
      <c r="N24" s="73" t="str">
        <f>Koontitaulukko10[[#This Row],[Vastauspvm]]</f>
        <v/>
      </c>
      <c r="O24" s="73"/>
      <c r="P24" s="40"/>
      <c r="Q24" s="40"/>
      <c r="R24" s="40"/>
      <c r="S24" s="40"/>
      <c r="T24" s="40"/>
      <c r="U24" s="40"/>
      <c r="V24" s="40"/>
      <c r="W24" s="40"/>
      <c r="X24" s="40"/>
      <c r="Y24" s="40"/>
    </row>
    <row r="25" spans="1:25" x14ac:dyDescent="0.35">
      <c r="A25" t="str">
        <f>Koontitaulukko10[[#This Row],[Kuuluuko kriteeri kyseisen laitoksen vastattavaksi]]</f>
        <v>Ei kuulu</v>
      </c>
      <c r="B25" t="str">
        <f>Koontitaulukko10[[#This Row],[Extra-kysymys]]</f>
        <v/>
      </c>
      <c r="C25">
        <f>Koontitaulukko10[[#This Row],[Kriteerin kokoluokka]]</f>
        <v>1.2</v>
      </c>
      <c r="D25" t="str">
        <f>Koontitaulukko10[[#This Row],[Kriteerin toimiala]]</f>
        <v>A,B</v>
      </c>
      <c r="E25" t="str">
        <f>Koontitaulukko10[[#This Row],[Pääkategoria]]</f>
        <v>Turvallinen ja toimintavarma</v>
      </c>
      <c r="F25" t="str">
        <f>Koontitaulukko10[[#This Row],[Alakategoria]]</f>
        <v>2. Ajantasainen varautumis- ja valmiussuunnittelu ja yhteistyö muiden toimijoiden kanssa</v>
      </c>
      <c r="G25" t="str">
        <f>Koontitaulukko10[[#This Row],[Arviointikriteeri]]</f>
        <v>2.11 Vesihuoltolaitoksen pääasiallinen varmuusluokka on B (Talousvettä käytettävissä ≥ 60 % normaalista kulutuksesta, mikäli vedenjakelualueen pääasiallista vesilähdettä ei voida käyttää).</v>
      </c>
      <c r="H25" t="str">
        <f>Koontitaulukko10[[#This Row],[Huoltovarmuus]]</f>
        <v>Ei</v>
      </c>
      <c r="I25" t="str">
        <f>Koontitaulukko10[[#This Row],[Vastaus ]]</f>
        <v/>
      </c>
      <c r="J25">
        <f>Koontitaulukko10[[#This Row],[Vastaajan kokoluokka]]</f>
        <v>0</v>
      </c>
      <c r="K25" t="str">
        <f>Koontitaulukko10[[#This Row],[Vastaajan toimiala]]</f>
        <v/>
      </c>
      <c r="L25" t="str">
        <f>Koontitaulukko10[[#This Row],[Kunta]]</f>
        <v/>
      </c>
      <c r="M25" t="str">
        <f>Koontitaulukko10[[#This Row],[Vesilaitoksen nimi]]</f>
        <v/>
      </c>
      <c r="N25" s="73" t="str">
        <f>Koontitaulukko10[[#This Row],[Vastauspvm]]</f>
        <v/>
      </c>
      <c r="O25" s="73"/>
      <c r="P25" s="40"/>
      <c r="Q25" s="40"/>
      <c r="R25" s="40"/>
      <c r="S25" s="40"/>
      <c r="T25" s="40"/>
      <c r="U25" s="40"/>
      <c r="V25" s="40"/>
      <c r="W25" s="40"/>
      <c r="X25" s="40"/>
      <c r="Y25" s="40"/>
    </row>
    <row r="26" spans="1:25" x14ac:dyDescent="0.35">
      <c r="A26" t="str">
        <f>Koontitaulukko10[[#This Row],[Kuuluuko kriteeri kyseisen laitoksen vastattavaksi]]</f>
        <v>Ei kuulu</v>
      </c>
      <c r="B26" t="str">
        <f>Koontitaulukko10[[#This Row],[Extra-kysymys]]</f>
        <v/>
      </c>
      <c r="C26" t="str">
        <f>Koontitaulukko10[[#This Row],[Kriteerin kokoluokka]]</f>
        <v>3, 4</v>
      </c>
      <c r="D26" t="str">
        <f>Koontitaulukko10[[#This Row],[Kriteerin toimiala]]</f>
        <v>A,B</v>
      </c>
      <c r="E26" t="str">
        <f>Koontitaulukko10[[#This Row],[Pääkategoria]]</f>
        <v>Turvallinen ja toimintavarma</v>
      </c>
      <c r="F26" t="str">
        <f>Koontitaulukko10[[#This Row],[Alakategoria]]</f>
        <v>2. Ajantasainen varautumis- ja valmiussuunnittelu ja yhteistyö muiden toimijoiden kanssa</v>
      </c>
      <c r="G26" t="str">
        <f>Koontitaulukko10[[#This Row],[Arviointikriteeri]]</f>
        <v>2.11 Vesihuoltolaitoksen pääasiallinen varmuusluokka on A (Talousvettä käytettävissä ≥ 90 % normaalista kulutuksesta, mikäli vedenjakelualueen pääasiallista vesilähdettä ei voida käyttää).</v>
      </c>
      <c r="H26" t="str">
        <f>Koontitaulukko10[[#This Row],[Huoltovarmuus]]</f>
        <v>Kyllä</v>
      </c>
      <c r="I26" t="str">
        <f>Koontitaulukko10[[#This Row],[Vastaus ]]</f>
        <v/>
      </c>
      <c r="J26">
        <f>Koontitaulukko10[[#This Row],[Vastaajan kokoluokka]]</f>
        <v>0</v>
      </c>
      <c r="K26" t="str">
        <f>Koontitaulukko10[[#This Row],[Vastaajan toimiala]]</f>
        <v/>
      </c>
      <c r="L26" t="str">
        <f>Koontitaulukko10[[#This Row],[Kunta]]</f>
        <v/>
      </c>
      <c r="M26" t="str">
        <f>Koontitaulukko10[[#This Row],[Vesilaitoksen nimi]]</f>
        <v/>
      </c>
      <c r="N26" s="73" t="str">
        <f>Koontitaulukko10[[#This Row],[Vastauspvm]]</f>
        <v/>
      </c>
      <c r="O26" s="73"/>
      <c r="P26" s="40"/>
      <c r="Q26" s="40"/>
      <c r="R26" s="40"/>
      <c r="S26" s="40"/>
      <c r="T26" s="40"/>
      <c r="U26" s="40"/>
      <c r="V26" s="40"/>
      <c r="W26" s="40"/>
      <c r="X26" s="40"/>
      <c r="Y26" s="40"/>
    </row>
    <row r="27" spans="1:25" x14ac:dyDescent="0.35">
      <c r="A27" t="str">
        <f>Koontitaulukko10[[#This Row],[Kuuluuko kriteeri kyseisen laitoksen vastattavaksi]]</f>
        <v>Ei kuulu</v>
      </c>
      <c r="B27" t="str">
        <f>Koontitaulukko10[[#This Row],[Extra-kysymys]]</f>
        <v/>
      </c>
      <c r="C27" t="str">
        <f>Koontitaulukko10[[#This Row],[Kriteerin kokoluokka]]</f>
        <v>1,2,3,4</v>
      </c>
      <c r="D27" t="str">
        <f>Koontitaulukko10[[#This Row],[Kriteerin toimiala]]</f>
        <v>A,B</v>
      </c>
      <c r="E27" t="str">
        <f>Koontitaulukko10[[#This Row],[Pääkategoria]]</f>
        <v>Turvallinen ja toimintavarma</v>
      </c>
      <c r="F27" t="str">
        <f>Koontitaulukko10[[#This Row],[Alakategoria]]</f>
        <v>2. Ajantasainen varautumis- ja valmiussuunnittelu ja yhteistyö muiden toimijoiden kanssa</v>
      </c>
      <c r="G27" t="str">
        <f>Koontitaulukko10[[#This Row],[Arviointikriteeri]]</f>
        <v>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v>
      </c>
      <c r="H27" t="str">
        <f>Koontitaulukko10[[#This Row],[Huoltovarmuus]]</f>
        <v>Kyllä</v>
      </c>
      <c r="I27" t="str">
        <f>Koontitaulukko10[[#This Row],[Vastaus ]]</f>
        <v/>
      </c>
      <c r="J27">
        <f>Koontitaulukko10[[#This Row],[Vastaajan kokoluokka]]</f>
        <v>0</v>
      </c>
      <c r="K27" t="str">
        <f>Koontitaulukko10[[#This Row],[Vastaajan toimiala]]</f>
        <v/>
      </c>
      <c r="L27" t="str">
        <f>Koontitaulukko10[[#This Row],[Kunta]]</f>
        <v/>
      </c>
      <c r="M27" t="str">
        <f>Koontitaulukko10[[#This Row],[Vesilaitoksen nimi]]</f>
        <v/>
      </c>
      <c r="N27" s="73" t="str">
        <f>Koontitaulukko10[[#This Row],[Vastauspvm]]</f>
        <v/>
      </c>
      <c r="O27" s="73"/>
      <c r="P27" s="40"/>
      <c r="Q27" s="40"/>
      <c r="R27" s="40"/>
      <c r="S27" s="40"/>
      <c r="T27" s="40"/>
      <c r="U27" s="40"/>
      <c r="V27" s="40"/>
      <c r="W27" s="40"/>
      <c r="X27" s="40"/>
      <c r="Y27" s="40"/>
    </row>
    <row r="28" spans="1:25" x14ac:dyDescent="0.35">
      <c r="A28" t="str">
        <f>Koontitaulukko10[[#This Row],[Kuuluuko kriteeri kyseisen laitoksen vastattavaksi]]</f>
        <v>Ei kuulu</v>
      </c>
      <c r="B28" t="str">
        <f>Koontitaulukko10[[#This Row],[Extra-kysymys]]</f>
        <v/>
      </c>
      <c r="C28" t="str">
        <f>Koontitaulukko10[[#This Row],[Kriteerin kokoluokka]]</f>
        <v>1,2,3,4</v>
      </c>
      <c r="D28" t="str">
        <f>Koontitaulukko10[[#This Row],[Kriteerin toimiala]]</f>
        <v>B,C</v>
      </c>
      <c r="E28" t="str">
        <f>Koontitaulukko10[[#This Row],[Pääkategoria]]</f>
        <v>Turvallinen ja toimintavarma</v>
      </c>
      <c r="F28" t="str">
        <f>Koontitaulukko10[[#This Row],[Alakategoria]]</f>
        <v>2. Ajantasainen varautumis- ja valmiussuunnittelu ja yhteistyö muiden toimijoiden kanssa</v>
      </c>
      <c r="G28" t="str">
        <f>Koontitaulukko10[[#This Row],[Arviointikriteeri]]</f>
        <v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v>
      </c>
      <c r="H28" t="str">
        <f>Koontitaulukko10[[#This Row],[Huoltovarmuus]]</f>
        <v>Kyllä</v>
      </c>
      <c r="I28" t="str">
        <f>Koontitaulukko10[[#This Row],[Vastaus ]]</f>
        <v/>
      </c>
      <c r="J28">
        <f>Koontitaulukko10[[#This Row],[Vastaajan kokoluokka]]</f>
        <v>0</v>
      </c>
      <c r="K28" t="str">
        <f>Koontitaulukko10[[#This Row],[Vastaajan toimiala]]</f>
        <v/>
      </c>
      <c r="L28" t="str">
        <f>Koontitaulukko10[[#This Row],[Kunta]]</f>
        <v/>
      </c>
      <c r="M28" t="str">
        <f>Koontitaulukko10[[#This Row],[Vesilaitoksen nimi]]</f>
        <v/>
      </c>
      <c r="N28" s="73" t="str">
        <f>Koontitaulukko10[[#This Row],[Vastauspvm]]</f>
        <v/>
      </c>
      <c r="O28" s="73"/>
      <c r="P28" s="40"/>
      <c r="Q28" s="40"/>
      <c r="R28" s="40"/>
      <c r="S28" s="40"/>
      <c r="T28" s="40"/>
      <c r="U28" s="40"/>
      <c r="V28" s="40"/>
      <c r="W28" s="40"/>
      <c r="X28" s="40"/>
      <c r="Y28" s="40"/>
    </row>
    <row r="29" spans="1:25" x14ac:dyDescent="0.35">
      <c r="A29" t="str">
        <f>Koontitaulukko10[[#This Row],[Kuuluuko kriteeri kyseisen laitoksen vastattavaksi]]</f>
        <v>Ei kuulu</v>
      </c>
      <c r="B29" t="str">
        <f>Koontitaulukko10[[#This Row],[Extra-kysymys]]</f>
        <v/>
      </c>
      <c r="C29" t="str">
        <f>Koontitaulukko10[[#This Row],[Kriteerin kokoluokka]]</f>
        <v>1,2,3,4</v>
      </c>
      <c r="D29" t="str">
        <f>Koontitaulukko10[[#This Row],[Kriteerin toimiala]]</f>
        <v>A,B,C,D</v>
      </c>
      <c r="E29" t="str">
        <f>Koontitaulukko10[[#This Row],[Pääkategoria]]</f>
        <v>Turvallinen ja toimintavarma</v>
      </c>
      <c r="F29" t="str">
        <f>Koontitaulukko10[[#This Row],[Alakategoria]]</f>
        <v>2. Ajantasainen varautumis- ja valmiussuunnittelu ja yhteistyö muiden toimijoiden kanssa</v>
      </c>
      <c r="G29" t="str">
        <f>Koontitaulukko10[[#This Row],[Arviointikriteeri]]</f>
        <v xml:space="preserve">2.14 Varavoimakoneiden käyttöönotto ja toimivuus testataan säännöllisesti. </v>
      </c>
      <c r="H29" t="str">
        <f>Koontitaulukko10[[#This Row],[Huoltovarmuus]]</f>
        <v>Kyllä</v>
      </c>
      <c r="I29" t="str">
        <f>Koontitaulukko10[[#This Row],[Vastaus ]]</f>
        <v/>
      </c>
      <c r="J29">
        <f>Koontitaulukko10[[#This Row],[Vastaajan kokoluokka]]</f>
        <v>0</v>
      </c>
      <c r="K29" t="str">
        <f>Koontitaulukko10[[#This Row],[Vastaajan toimiala]]</f>
        <v/>
      </c>
      <c r="L29" t="str">
        <f>Koontitaulukko10[[#This Row],[Kunta]]</f>
        <v/>
      </c>
      <c r="M29" t="str">
        <f>Koontitaulukko10[[#This Row],[Vesilaitoksen nimi]]</f>
        <v/>
      </c>
      <c r="N29" s="73" t="str">
        <f>Koontitaulukko10[[#This Row],[Vastauspvm]]</f>
        <v/>
      </c>
      <c r="O29" s="73"/>
      <c r="P29" s="40"/>
      <c r="Q29" s="40"/>
      <c r="R29" s="40"/>
      <c r="S29" s="40"/>
      <c r="T29" s="40"/>
      <c r="U29" s="40"/>
      <c r="V29" s="40"/>
      <c r="W29" s="40"/>
      <c r="X29" s="40"/>
      <c r="Y29" s="40"/>
    </row>
    <row r="30" spans="1:25" x14ac:dyDescent="0.35">
      <c r="A30" t="str">
        <f>Koontitaulukko10[[#This Row],[Kuuluuko kriteeri kyseisen laitoksen vastattavaksi]]</f>
        <v>Ei kuulu</v>
      </c>
      <c r="B30" t="str">
        <f>Koontitaulukko10[[#This Row],[Extra-kysymys]]</f>
        <v/>
      </c>
      <c r="C30" t="str">
        <f>Koontitaulukko10[[#This Row],[Kriteerin kokoluokka]]</f>
        <v xml:space="preserve">1,2,3,4 </v>
      </c>
      <c r="D30" t="str">
        <f>Koontitaulukko10[[#This Row],[Kriteerin toimiala]]</f>
        <v>A,B,C,D</v>
      </c>
      <c r="E30" t="str">
        <f>Koontitaulukko10[[#This Row],[Pääkategoria]]</f>
        <v>Turvallinen ja toimintavarma</v>
      </c>
      <c r="F30" t="str">
        <f>Koontitaulukko10[[#This Row],[Alakategoria]]</f>
        <v>2. Ajantasainen varautumis- ja valmiussuunnittelu ja yhteistyö muiden toimijoiden kanssa</v>
      </c>
      <c r="G30" t="str">
        <f>Koontitaulukko10[[#This Row],[Arviointikriteeri]]</f>
        <v>2.15 Vesihuoltolaitos on selvittänyt materiaalisia yhteistyötarpeita ja -mahdollisuuksia muiden vesihuoltolaitosten kanssa. Jos yhteisiä tarpeita ja mahdollisuuksia on havaittu, on tehty yhteistyösopimuksia (esim. varavoima, vedenjakelukalusto, kemikaalit, varaosat).</v>
      </c>
      <c r="H30" t="str">
        <f>Koontitaulukko10[[#This Row],[Huoltovarmuus]]</f>
        <v>Kyllä</v>
      </c>
      <c r="I30" t="str">
        <f>Koontitaulukko10[[#This Row],[Vastaus ]]</f>
        <v/>
      </c>
      <c r="J30">
        <f>Koontitaulukko10[[#This Row],[Vastaajan kokoluokka]]</f>
        <v>0</v>
      </c>
      <c r="K30" t="str">
        <f>Koontitaulukko10[[#This Row],[Vastaajan toimiala]]</f>
        <v/>
      </c>
      <c r="L30" t="str">
        <f>Koontitaulukko10[[#This Row],[Kunta]]</f>
        <v/>
      </c>
      <c r="M30" t="str">
        <f>Koontitaulukko10[[#This Row],[Vesilaitoksen nimi]]</f>
        <v/>
      </c>
      <c r="N30" s="73" t="str">
        <f>Koontitaulukko10[[#This Row],[Vastauspvm]]</f>
        <v/>
      </c>
      <c r="O30" s="73"/>
      <c r="P30" s="40"/>
      <c r="Q30" s="40"/>
      <c r="R30" s="40"/>
      <c r="S30" s="40"/>
      <c r="T30" s="40"/>
      <c r="U30" s="40"/>
      <c r="V30" s="40"/>
      <c r="W30" s="40"/>
      <c r="X30" s="40"/>
      <c r="Y30" s="40"/>
    </row>
    <row r="31" spans="1:25" x14ac:dyDescent="0.35">
      <c r="A31" t="str">
        <f>Koontitaulukko10[[#This Row],[Kuuluuko kriteeri kyseisen laitoksen vastattavaksi]]</f>
        <v>Ei kuulu</v>
      </c>
      <c r="B31" t="str">
        <f>Koontitaulukko10[[#This Row],[Extra-kysymys]]</f>
        <v/>
      </c>
      <c r="C31" t="str">
        <f>Koontitaulukko10[[#This Row],[Kriteerin kokoluokka]]</f>
        <v xml:space="preserve">1,2,3,4 </v>
      </c>
      <c r="D31" t="str">
        <f>Koontitaulukko10[[#This Row],[Kriteerin toimiala]]</f>
        <v>A,B,C,D</v>
      </c>
      <c r="E31" t="str">
        <f>Koontitaulukko10[[#This Row],[Pääkategoria]]</f>
        <v>Turvallinen ja toimintavarma</v>
      </c>
      <c r="F31" t="str">
        <f>Koontitaulukko10[[#This Row],[Alakategoria]]</f>
        <v>2. Ajantasainen varautumis- ja valmiussuunnittelu ja yhteistyö muiden toimijoiden kanssa</v>
      </c>
      <c r="G31" t="str">
        <f>Koontitaulukko10[[#This Row],[Arviointikriteeri]]</f>
        <v>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v>
      </c>
      <c r="H31" t="str">
        <f>Koontitaulukko10[[#This Row],[Huoltovarmuus]]</f>
        <v>Kyllä</v>
      </c>
      <c r="I31" t="str">
        <f>Koontitaulukko10[[#This Row],[Vastaus ]]</f>
        <v/>
      </c>
      <c r="J31">
        <f>Koontitaulukko10[[#This Row],[Vastaajan kokoluokka]]</f>
        <v>0</v>
      </c>
      <c r="K31" t="str">
        <f>Koontitaulukko10[[#This Row],[Vastaajan toimiala]]</f>
        <v/>
      </c>
      <c r="L31" t="str">
        <f>Koontitaulukko10[[#This Row],[Kunta]]</f>
        <v/>
      </c>
      <c r="M31" t="str">
        <f>Koontitaulukko10[[#This Row],[Vesilaitoksen nimi]]</f>
        <v/>
      </c>
      <c r="N31" s="73" t="str">
        <f>Koontitaulukko10[[#This Row],[Vastauspvm]]</f>
        <v/>
      </c>
      <c r="O31" s="73"/>
      <c r="P31" s="40"/>
      <c r="Q31" s="40"/>
      <c r="R31" s="40"/>
      <c r="S31" s="40"/>
      <c r="T31" s="40"/>
      <c r="U31" s="40"/>
      <c r="V31" s="40"/>
      <c r="W31" s="40"/>
      <c r="X31" s="40"/>
      <c r="Y31" s="40"/>
    </row>
    <row r="32" spans="1:25" x14ac:dyDescent="0.35">
      <c r="A32" t="str">
        <f>Koontitaulukko10[[#This Row],[Kuuluuko kriteeri kyseisen laitoksen vastattavaksi]]</f>
        <v>Ei kuulu</v>
      </c>
      <c r="B32" t="str">
        <f>Koontitaulukko10[[#This Row],[Extra-kysymys]]</f>
        <v/>
      </c>
      <c r="C32" t="str">
        <f>Koontitaulukko10[[#This Row],[Kriteerin kokoluokka]]</f>
        <v xml:space="preserve">1,2,3,4 </v>
      </c>
      <c r="D32" t="str">
        <f>Koontitaulukko10[[#This Row],[Kriteerin toimiala]]</f>
        <v>B,C</v>
      </c>
      <c r="E32" t="str">
        <f>Koontitaulukko10[[#This Row],[Pääkategoria]]</f>
        <v>Turvallinen ja toimintavarma</v>
      </c>
      <c r="F32" t="str">
        <f>Koontitaulukko10[[#This Row],[Alakategoria]]</f>
        <v>2. Ajantasainen varautumis- ja valmiussuunnittelu ja yhteistyö muiden toimijoiden kanssa</v>
      </c>
      <c r="G32" t="str">
        <f>Koontitaulukko10[[#This Row],[Arviointikriteeri]]</f>
        <v>2.17 On selvitetty mahdollisuuksia ja tarvetta vesihuoltolaitosten välisiin olennaisiin normaali/poikkeustilanteen verkostoyhteyksiin ja jos tarve on tunnistettu, on tehty sopimukset, rakennettu yhteydet sekä sovittu käytännöistä.</v>
      </c>
      <c r="H32" t="str">
        <f>Koontitaulukko10[[#This Row],[Huoltovarmuus]]</f>
        <v>Kyllä</v>
      </c>
      <c r="I32" t="str">
        <f>Koontitaulukko10[[#This Row],[Vastaus ]]</f>
        <v/>
      </c>
      <c r="J32">
        <f>Koontitaulukko10[[#This Row],[Vastaajan kokoluokka]]</f>
        <v>0</v>
      </c>
      <c r="K32" t="str">
        <f>Koontitaulukko10[[#This Row],[Vastaajan toimiala]]</f>
        <v/>
      </c>
      <c r="L32" t="str">
        <f>Koontitaulukko10[[#This Row],[Kunta]]</f>
        <v/>
      </c>
      <c r="M32" t="str">
        <f>Koontitaulukko10[[#This Row],[Vesilaitoksen nimi]]</f>
        <v/>
      </c>
      <c r="N32" s="73" t="str">
        <f>Koontitaulukko10[[#This Row],[Vastauspvm]]</f>
        <v/>
      </c>
      <c r="O32" s="73"/>
      <c r="P32" s="40"/>
      <c r="Q32" s="40"/>
      <c r="R32" s="40"/>
      <c r="S32" s="40"/>
      <c r="T32" s="40"/>
      <c r="U32" s="40"/>
      <c r="V32" s="40"/>
      <c r="W32" s="40"/>
      <c r="X32" s="40"/>
      <c r="Y32" s="40"/>
    </row>
    <row r="33" spans="1:25" x14ac:dyDescent="0.35">
      <c r="A33" t="str">
        <f>Koontitaulukko10[[#This Row],[Kuuluuko kriteeri kyseisen laitoksen vastattavaksi]]</f>
        <v>Ei kuulu</v>
      </c>
      <c r="B33" t="str">
        <f>Koontitaulukko10[[#This Row],[Extra-kysymys]]</f>
        <v/>
      </c>
      <c r="C33" t="str">
        <f>Koontitaulukko10[[#This Row],[Kriteerin kokoluokka]]</f>
        <v>1,2,3,4</v>
      </c>
      <c r="D33" t="str">
        <f>Koontitaulukko10[[#This Row],[Kriteerin toimiala]]</f>
        <v>A,B,C,D</v>
      </c>
      <c r="E33" t="str">
        <f>Koontitaulukko10[[#This Row],[Pääkategoria]]</f>
        <v>Turvallinen ja toimintavarma</v>
      </c>
      <c r="F33" t="str">
        <f>Koontitaulukko10[[#This Row],[Alakategoria]]</f>
        <v>2. Ajantasainen varautumis- ja valmiussuunnittelu ja yhteistyö muiden toimijoiden kanssa</v>
      </c>
      <c r="G33" t="str">
        <f>Koontitaulukko10[[#This Row],[Arviointikriteeri]]</f>
        <v>2.18 Vesihuoltolaitoksen kohteiden (esim. kiinteistöjen, toimitilojen) riittävästä fyysisestä turvallisuudesta (lukitus, kulunseuranta, aitaus, valvontakamerat tms.)  on huolehdittu asianmukaisesti ottaen huomioon niiden kriittisyys.</v>
      </c>
      <c r="H33" t="str">
        <f>Koontitaulukko10[[#This Row],[Huoltovarmuus]]</f>
        <v>Kyllä</v>
      </c>
      <c r="I33" t="str">
        <f>Koontitaulukko10[[#This Row],[Vastaus ]]</f>
        <v/>
      </c>
      <c r="J33">
        <f>Koontitaulukko10[[#This Row],[Vastaajan kokoluokka]]</f>
        <v>0</v>
      </c>
      <c r="K33" t="str">
        <f>Koontitaulukko10[[#This Row],[Vastaajan toimiala]]</f>
        <v/>
      </c>
      <c r="L33" t="str">
        <f>Koontitaulukko10[[#This Row],[Kunta]]</f>
        <v/>
      </c>
      <c r="M33" t="str">
        <f>Koontitaulukko10[[#This Row],[Vesilaitoksen nimi]]</f>
        <v/>
      </c>
      <c r="N33" s="73" t="str">
        <f>Koontitaulukko10[[#This Row],[Vastauspvm]]</f>
        <v/>
      </c>
      <c r="O33" s="73"/>
      <c r="P33" s="40"/>
      <c r="Q33" s="40"/>
      <c r="R33" s="40"/>
      <c r="S33" s="40"/>
      <c r="T33" s="40"/>
      <c r="U33" s="40"/>
      <c r="V33" s="40"/>
      <c r="W33" s="40"/>
      <c r="X33" s="40"/>
      <c r="Y33" s="40"/>
    </row>
    <row r="34" spans="1:25" x14ac:dyDescent="0.35">
      <c r="A34" t="str">
        <f>Koontitaulukko10[[#This Row],[Kuuluuko kriteeri kyseisen laitoksen vastattavaksi]]</f>
        <v>Ei kuulu</v>
      </c>
      <c r="B34" t="str">
        <f>Koontitaulukko10[[#This Row],[Extra-kysymys]]</f>
        <v/>
      </c>
      <c r="C34" t="str">
        <f>Koontitaulukko10[[#This Row],[Kriteerin kokoluokka]]</f>
        <v>1,2,3,4</v>
      </c>
      <c r="D34" t="str">
        <f>Koontitaulukko10[[#This Row],[Kriteerin toimiala]]</f>
        <v>A,B,C,D</v>
      </c>
      <c r="E34" t="str">
        <f>Koontitaulukko10[[#This Row],[Pääkategoria]]</f>
        <v>Turvallinen ja toimintavarma</v>
      </c>
      <c r="F34" t="str">
        <f>Koontitaulukko10[[#This Row],[Alakategoria]]</f>
        <v>2. Ajantasainen varautumis- ja valmiussuunnittelu ja yhteistyö muiden toimijoiden kanssa</v>
      </c>
      <c r="G34" t="str">
        <f>Koontitaulukko10[[#This Row],[Arviointikriteeri]]</f>
        <v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v>
      </c>
      <c r="H34" t="str">
        <f>Koontitaulukko10[[#This Row],[Huoltovarmuus]]</f>
        <v>Kyllä</v>
      </c>
      <c r="I34" t="str">
        <f>Koontitaulukko10[[#This Row],[Vastaus ]]</f>
        <v/>
      </c>
      <c r="J34">
        <f>Koontitaulukko10[[#This Row],[Vastaajan kokoluokka]]</f>
        <v>0</v>
      </c>
      <c r="K34" t="str">
        <f>Koontitaulukko10[[#This Row],[Vastaajan toimiala]]</f>
        <v/>
      </c>
      <c r="L34" t="str">
        <f>Koontitaulukko10[[#This Row],[Kunta]]</f>
        <v/>
      </c>
      <c r="M34" t="str">
        <f>Koontitaulukko10[[#This Row],[Vesilaitoksen nimi]]</f>
        <v/>
      </c>
      <c r="N34" s="73" t="str">
        <f>Koontitaulukko10[[#This Row],[Vastauspvm]]</f>
        <v/>
      </c>
      <c r="O34" s="73"/>
      <c r="P34" s="40"/>
      <c r="Q34" s="40"/>
      <c r="R34" s="40"/>
      <c r="S34" s="40"/>
      <c r="T34" s="40"/>
      <c r="U34" s="40"/>
      <c r="V34" s="40"/>
      <c r="W34" s="40"/>
      <c r="X34" s="40"/>
      <c r="Y34" s="40"/>
    </row>
    <row r="35" spans="1:25" x14ac:dyDescent="0.35">
      <c r="A35" t="str">
        <f>Koontitaulukko10[[#This Row],[Kuuluuko kriteeri kyseisen laitoksen vastattavaksi]]</f>
        <v>Ei kuulu</v>
      </c>
      <c r="B35" t="str">
        <f>Koontitaulukko10[[#This Row],[Extra-kysymys]]</f>
        <v/>
      </c>
      <c r="C35" t="str">
        <f>Koontitaulukko10[[#This Row],[Kriteerin kokoluokka]]</f>
        <v>1,2,3,4</v>
      </c>
      <c r="D35" t="str">
        <f>Koontitaulukko10[[#This Row],[Kriteerin toimiala]]</f>
        <v>A,B,C,D</v>
      </c>
      <c r="E35" t="str">
        <f>Koontitaulukko10[[#This Row],[Pääkategoria]]</f>
        <v>Turvallinen ja toimintavarma</v>
      </c>
      <c r="F35" t="str">
        <f>Koontitaulukko10[[#This Row],[Alakategoria]]</f>
        <v>2. Ajantasainen varautumis- ja valmiussuunnittelu ja yhteistyö muiden toimijoiden kanssa</v>
      </c>
      <c r="G35" t="str">
        <f>Koontitaulukko10[[#This Row],[Arviointikriteeri]]</f>
        <v xml:space="preserve">2.20 Vesihuoltolaitoksella on häiriötilanteiden hoitoa varten etukäteen sovittu ja harjoiteltu toimintatapa tilannekuvan kokoamiseen ja ylläpitoon. </v>
      </c>
      <c r="H35" t="str">
        <f>Koontitaulukko10[[#This Row],[Huoltovarmuus]]</f>
        <v>Kyllä</v>
      </c>
      <c r="I35" t="str">
        <f>Koontitaulukko10[[#This Row],[Vastaus ]]</f>
        <v/>
      </c>
      <c r="J35">
        <f>Koontitaulukko10[[#This Row],[Vastaajan kokoluokka]]</f>
        <v>0</v>
      </c>
      <c r="K35" t="str">
        <f>Koontitaulukko10[[#This Row],[Vastaajan toimiala]]</f>
        <v/>
      </c>
      <c r="L35" t="str">
        <f>Koontitaulukko10[[#This Row],[Kunta]]</f>
        <v/>
      </c>
      <c r="M35" t="str">
        <f>Koontitaulukko10[[#This Row],[Vesilaitoksen nimi]]</f>
        <v/>
      </c>
      <c r="N35" s="73" t="str">
        <f>Koontitaulukko10[[#This Row],[Vastauspvm]]</f>
        <v/>
      </c>
      <c r="O35" s="73"/>
      <c r="P35" s="40"/>
      <c r="Q35" s="40"/>
      <c r="R35" s="40"/>
      <c r="S35" s="40"/>
      <c r="T35" s="40"/>
      <c r="U35" s="40"/>
      <c r="V35" s="40"/>
      <c r="W35" s="40"/>
      <c r="X35" s="40"/>
      <c r="Y35" s="40"/>
    </row>
    <row r="36" spans="1:25" x14ac:dyDescent="0.35">
      <c r="A36" t="str">
        <f>Koontitaulukko10[[#This Row],[Kuuluuko kriteeri kyseisen laitoksen vastattavaksi]]</f>
        <v>Ei kuulu</v>
      </c>
      <c r="B36" t="str">
        <f>Koontitaulukko10[[#This Row],[Extra-kysymys]]</f>
        <v/>
      </c>
      <c r="C36">
        <f>Koontitaulukko10[[#This Row],[Kriteerin kokoluokka]]</f>
        <v>3.4</v>
      </c>
      <c r="D36" t="str">
        <f>Koontitaulukko10[[#This Row],[Kriteerin toimiala]]</f>
        <v>A,B,C,D</v>
      </c>
      <c r="E36" t="str">
        <f>Koontitaulukko10[[#This Row],[Pääkategoria]]</f>
        <v>Turvallinen ja toimintavarma</v>
      </c>
      <c r="F36" t="str">
        <f>Koontitaulukko10[[#This Row],[Alakategoria]]</f>
        <v>2. Ajantasainen varautumis- ja valmiussuunnittelu ja yhteistyö muiden toimijoiden kanssa</v>
      </c>
      <c r="G36" t="str">
        <f>Koontitaulukko10[[#This Row],[Arviointikriteeri]]</f>
        <v>2.21 Vesihuoltolaitoksella on laadittu toiminnan kannalta kriittisten automaatio- ja ICT-järjestelmien häiriötilanteiden varajärjestelyt ja häiriöistä toipuminen on suunniteltu. Tietoturvaa havainnoidaan.</v>
      </c>
      <c r="H36" t="str">
        <f>Koontitaulukko10[[#This Row],[Huoltovarmuus]]</f>
        <v>Kyllä</v>
      </c>
      <c r="I36" t="str">
        <f>Koontitaulukko10[[#This Row],[Vastaus ]]</f>
        <v/>
      </c>
      <c r="J36">
        <f>Koontitaulukko10[[#This Row],[Vastaajan kokoluokka]]</f>
        <v>0</v>
      </c>
      <c r="K36" t="str">
        <f>Koontitaulukko10[[#This Row],[Vastaajan toimiala]]</f>
        <v/>
      </c>
      <c r="L36" t="str">
        <f>Koontitaulukko10[[#This Row],[Kunta]]</f>
        <v/>
      </c>
      <c r="M36" t="str">
        <f>Koontitaulukko10[[#This Row],[Vesilaitoksen nimi]]</f>
        <v/>
      </c>
      <c r="N36" s="73" t="str">
        <f>Koontitaulukko10[[#This Row],[Vastauspvm]]</f>
        <v/>
      </c>
      <c r="O36" s="73"/>
      <c r="P36" s="40"/>
      <c r="Q36" s="40"/>
      <c r="R36" s="40"/>
      <c r="S36" s="40"/>
      <c r="T36" s="40"/>
      <c r="U36" s="40"/>
      <c r="V36" s="40"/>
      <c r="W36" s="40"/>
      <c r="X36" s="40"/>
      <c r="Y36" s="40"/>
    </row>
    <row r="37" spans="1:25" x14ac:dyDescent="0.35">
      <c r="A37" t="str">
        <f>Koontitaulukko10[[#This Row],[Kuuluuko kriteeri kyseisen laitoksen vastattavaksi]]</f>
        <v>Ei kuulu</v>
      </c>
      <c r="B37" t="str">
        <f>Koontitaulukko10[[#This Row],[Extra-kysymys]]</f>
        <v/>
      </c>
      <c r="C37">
        <f>Koontitaulukko10[[#This Row],[Kriteerin kokoluokka]]</f>
        <v>3.4</v>
      </c>
      <c r="D37" t="str">
        <f>Koontitaulukko10[[#This Row],[Kriteerin toimiala]]</f>
        <v>A,B,C,D</v>
      </c>
      <c r="E37" t="str">
        <f>Koontitaulukko10[[#This Row],[Pääkategoria]]</f>
        <v>Turvallinen ja toimintavarma</v>
      </c>
      <c r="F37" t="str">
        <f>Koontitaulukko10[[#This Row],[Alakategoria]]</f>
        <v>2. Ajantasainen varautumis- ja valmiussuunnittelu ja yhteistyö muiden toimijoiden kanssa</v>
      </c>
      <c r="G37" t="str">
        <f>Koontitaulukko10[[#This Row],[Arviointikriteeri]]</f>
        <v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v>
      </c>
      <c r="H37" t="str">
        <f>Koontitaulukko10[[#This Row],[Huoltovarmuus]]</f>
        <v>Kyllä</v>
      </c>
      <c r="I37" t="str">
        <f>Koontitaulukko10[[#This Row],[Vastaus ]]</f>
        <v/>
      </c>
      <c r="J37">
        <f>Koontitaulukko10[[#This Row],[Vastaajan kokoluokka]]</f>
        <v>0</v>
      </c>
      <c r="K37" t="str">
        <f>Koontitaulukko10[[#This Row],[Vastaajan toimiala]]</f>
        <v/>
      </c>
      <c r="L37" t="str">
        <f>Koontitaulukko10[[#This Row],[Kunta]]</f>
        <v/>
      </c>
      <c r="M37" t="str">
        <f>Koontitaulukko10[[#This Row],[Vesilaitoksen nimi]]</f>
        <v/>
      </c>
      <c r="N37" s="73" t="str">
        <f>Koontitaulukko10[[#This Row],[Vastauspvm]]</f>
        <v/>
      </c>
      <c r="O37" s="73"/>
      <c r="P37" s="40"/>
      <c r="Q37" s="40"/>
      <c r="R37" s="40"/>
      <c r="S37" s="40"/>
      <c r="T37" s="40"/>
      <c r="U37" s="40"/>
      <c r="V37" s="40"/>
      <c r="W37" s="40"/>
      <c r="X37" s="40"/>
      <c r="Y37" s="40"/>
    </row>
    <row r="38" spans="1:25" x14ac:dyDescent="0.35">
      <c r="A38" t="str">
        <f>Koontitaulukko10[[#This Row],[Kuuluuko kriteeri kyseisen laitoksen vastattavaksi]]</f>
        <v>Ei kuulu</v>
      </c>
      <c r="B38" t="str">
        <f>Koontitaulukko10[[#This Row],[Extra-kysymys]]</f>
        <v/>
      </c>
      <c r="C38" t="str">
        <f>Koontitaulukko10[[#This Row],[Kriteerin kokoluokka]]</f>
        <v>3, 4</v>
      </c>
      <c r="D38" t="str">
        <f>Koontitaulukko10[[#This Row],[Kriteerin toimiala]]</f>
        <v>A,B,C,D</v>
      </c>
      <c r="E38" t="str">
        <f>Koontitaulukko10[[#This Row],[Pääkategoria]]</f>
        <v>Turvallinen ja toimintavarma</v>
      </c>
      <c r="F38" t="str">
        <f>Koontitaulukko10[[#This Row],[Alakategoria]]</f>
        <v>2. Ajantasainen varautumis- ja valmiussuunnittelu ja yhteistyö muiden toimijoiden kanssa</v>
      </c>
      <c r="G38" t="str">
        <f>Koontitaulukko10[[#This Row],[Arviointikriteeri]]</f>
        <v>2.23 Vesihuoltolaitos pitää tarvitsemiensa ajoneuvojen ja työkoneiden ATV-varaukset ajan tasalla. (Välttämättömien ajoneuvojen ja työkoneiden varaaminen poikkeusoloissa vesihuollon käyttöön)</v>
      </c>
      <c r="H38" t="str">
        <f>Koontitaulukko10[[#This Row],[Huoltovarmuus]]</f>
        <v>Kyllä</v>
      </c>
      <c r="I38" t="str">
        <f>Koontitaulukko10[[#This Row],[Vastaus ]]</f>
        <v/>
      </c>
      <c r="J38">
        <f>Koontitaulukko10[[#This Row],[Vastaajan kokoluokka]]</f>
        <v>0</v>
      </c>
      <c r="K38" t="str">
        <f>Koontitaulukko10[[#This Row],[Vastaajan toimiala]]</f>
        <v/>
      </c>
      <c r="L38" t="str">
        <f>Koontitaulukko10[[#This Row],[Kunta]]</f>
        <v/>
      </c>
      <c r="M38" t="str">
        <f>Koontitaulukko10[[#This Row],[Vesilaitoksen nimi]]</f>
        <v/>
      </c>
      <c r="N38" s="73" t="str">
        <f>Koontitaulukko10[[#This Row],[Vastauspvm]]</f>
        <v/>
      </c>
      <c r="O38" s="73"/>
      <c r="P38" s="40"/>
      <c r="Q38" s="40"/>
      <c r="R38" s="40"/>
      <c r="S38" s="40"/>
      <c r="T38" s="40"/>
      <c r="U38" s="40"/>
      <c r="V38" s="40"/>
      <c r="W38" s="40"/>
      <c r="X38" s="40"/>
      <c r="Y38" s="40"/>
    </row>
    <row r="39" spans="1:25" x14ac:dyDescent="0.35">
      <c r="A39" t="str">
        <f>Koontitaulukko10[[#This Row],[Kuuluuko kriteeri kyseisen laitoksen vastattavaksi]]</f>
        <v>Ei kuulu</v>
      </c>
      <c r="B39" t="str">
        <f>Koontitaulukko10[[#This Row],[Extra-kysymys]]</f>
        <v/>
      </c>
      <c r="C39">
        <f>Koontitaulukko10[[#This Row],[Kriteerin kokoluokka]]</f>
        <v>4</v>
      </c>
      <c r="D39" t="str">
        <f>Koontitaulukko10[[#This Row],[Kriteerin toimiala]]</f>
        <v>A,B,C,D</v>
      </c>
      <c r="E39" t="str">
        <f>Koontitaulukko10[[#This Row],[Pääkategoria]]</f>
        <v>Turvallinen ja toimintavarma</v>
      </c>
      <c r="F39" t="str">
        <f>Koontitaulukko10[[#This Row],[Alakategoria]]</f>
        <v>2. Ajantasainen varautumis- ja valmiussuunnittelu ja yhteistyö muiden toimijoiden kanssa</v>
      </c>
      <c r="G39" t="str">
        <f>Koontitaulukko10[[#This Row],[Arviointikriteeri]]</f>
        <v>2.24 Automaatio- ja ICT-järjestelmien (OT- ja IT- järjestelmät) tietoturvaa on arvioitu hyödyntäen Kybermittaria tai Kyber-Vesi -hankkeen automaation vaatimuspatteristoa.</v>
      </c>
      <c r="H39" t="str">
        <f>Koontitaulukko10[[#This Row],[Huoltovarmuus]]</f>
        <v>Kyllä</v>
      </c>
      <c r="I39" t="str">
        <f>Koontitaulukko10[[#This Row],[Vastaus ]]</f>
        <v/>
      </c>
      <c r="J39">
        <f>Koontitaulukko10[[#This Row],[Vastaajan kokoluokka]]</f>
        <v>0</v>
      </c>
      <c r="K39" t="str">
        <f>Koontitaulukko10[[#This Row],[Vastaajan toimiala]]</f>
        <v/>
      </c>
      <c r="L39" t="str">
        <f>Koontitaulukko10[[#This Row],[Kunta]]</f>
        <v/>
      </c>
      <c r="M39" t="str">
        <f>Koontitaulukko10[[#This Row],[Vesilaitoksen nimi]]</f>
        <v/>
      </c>
      <c r="N39" s="73" t="str">
        <f>Koontitaulukko10[[#This Row],[Vastauspvm]]</f>
        <v/>
      </c>
      <c r="O39" s="73"/>
      <c r="P39" s="40"/>
      <c r="Q39" s="40"/>
      <c r="R39" s="40"/>
      <c r="S39" s="40"/>
      <c r="T39" s="40"/>
      <c r="U39" s="40"/>
      <c r="V39" s="40"/>
      <c r="W39" s="40"/>
      <c r="X39" s="40"/>
      <c r="Y39" s="40"/>
    </row>
    <row r="40" spans="1:25" hidden="1" x14ac:dyDescent="0.35">
      <c r="A40" t="str">
        <f>Koontitaulukko10[[#This Row],[Kuuluuko kriteeri kyseisen laitoksen vastattavaksi]]</f>
        <v>Ei kuulu</v>
      </c>
      <c r="B40" t="str">
        <f>Koontitaulukko10[[#This Row],[Extra-kysymys]]</f>
        <v/>
      </c>
      <c r="C40" t="str">
        <f>Koontitaulukko10[[#This Row],[Kriteerin kokoluokka]]</f>
        <v xml:space="preserve">1,2,3,4 </v>
      </c>
      <c r="D40" t="str">
        <f>Koontitaulukko10[[#This Row],[Kriteerin toimiala]]</f>
        <v>A,B,C,D</v>
      </c>
      <c r="E40" t="str">
        <f>Koontitaulukko10[[#This Row],[Pääkategoria]]</f>
        <v>Turvallinen ja toimintavarma</v>
      </c>
      <c r="F40" t="str">
        <f>Koontitaulukko10[[#This Row],[Alakategoria]]</f>
        <v>_Otsikkorivi</v>
      </c>
      <c r="G40" t="str">
        <f>Koontitaulukko10[[#This Row],[Arviointikriteeri]]</f>
        <v>3. Kriittiset asiakkaat, väliaikainen vedenjakelu ja poikkeustilanteiden viestintä</v>
      </c>
      <c r="H40" t="str">
        <f>Koontitaulukko10[[#This Row],[Huoltovarmuus]]</f>
        <v>Ei</v>
      </c>
      <c r="I40" t="str">
        <f>Koontitaulukko10[[#This Row],[Vastaus ]]</f>
        <v/>
      </c>
      <c r="J40">
        <f>Koontitaulukko10[[#This Row],[Vastaajan kokoluokka]]</f>
        <v>0</v>
      </c>
      <c r="K40" t="str">
        <f>Koontitaulukko10[[#This Row],[Vastaajan toimiala]]</f>
        <v/>
      </c>
      <c r="L40" t="str">
        <f>Koontitaulukko10[[#This Row],[Kunta]]</f>
        <v/>
      </c>
      <c r="M40" t="str">
        <f>Koontitaulukko10[[#This Row],[Vesilaitoksen nimi]]</f>
        <v/>
      </c>
      <c r="N40" s="73" t="str">
        <f>Koontitaulukko10[[#This Row],[Vastauspvm]]</f>
        <v/>
      </c>
      <c r="O40" s="73"/>
      <c r="P40" s="40"/>
      <c r="Q40" s="40"/>
      <c r="R40" s="40"/>
      <c r="S40" s="40"/>
      <c r="T40" s="40"/>
      <c r="U40" s="40"/>
      <c r="V40" s="40"/>
      <c r="W40" s="40"/>
      <c r="X40" s="40"/>
      <c r="Y40" s="40"/>
    </row>
    <row r="41" spans="1:25" x14ac:dyDescent="0.35">
      <c r="A41" t="str">
        <f>Koontitaulukko10[[#This Row],[Kuuluuko kriteeri kyseisen laitoksen vastattavaksi]]</f>
        <v>Ei kuulu</v>
      </c>
      <c r="B41" t="str">
        <f>Koontitaulukko10[[#This Row],[Extra-kysymys]]</f>
        <v/>
      </c>
      <c r="C41" t="str">
        <f>Koontitaulukko10[[#This Row],[Kriteerin kokoluokka]]</f>
        <v>1,2,3,4</v>
      </c>
      <c r="D41" t="str">
        <f>Koontitaulukko10[[#This Row],[Kriteerin toimiala]]</f>
        <v>B</v>
      </c>
      <c r="E41" t="str">
        <f>Koontitaulukko10[[#This Row],[Pääkategoria]]</f>
        <v>Turvallinen ja toimintavarma</v>
      </c>
      <c r="F41" t="str">
        <f>Koontitaulukko10[[#This Row],[Alakategoria]]</f>
        <v>3. Kriittiset asiakkaat, väliaikainen vedenjakelu ja poikkeustilanteiden viestintä</v>
      </c>
      <c r="G41" t="str">
        <f>Koontitaulukko10[[#This Row],[Arviointikriteeri]]</f>
        <v xml:space="preserve">3.1 Vesihuoltolaitoksen kriittiset asiakkaat on tunnistettu (määritetty ja luokiteltu) ja dokumentoitu (esim. vesihuoltolaitoksen verkkotietojärjestelmään ja varautumisohjeisiin) </v>
      </c>
      <c r="H41" t="str">
        <f>Koontitaulukko10[[#This Row],[Huoltovarmuus]]</f>
        <v>Kyllä</v>
      </c>
      <c r="I41" t="str">
        <f>Koontitaulukko10[[#This Row],[Vastaus ]]</f>
        <v/>
      </c>
      <c r="J41">
        <f>Koontitaulukko10[[#This Row],[Vastaajan kokoluokka]]</f>
        <v>0</v>
      </c>
      <c r="K41" t="str">
        <f>Koontitaulukko10[[#This Row],[Vastaajan toimiala]]</f>
        <v/>
      </c>
      <c r="L41" t="str">
        <f>Koontitaulukko10[[#This Row],[Kunta]]</f>
        <v/>
      </c>
      <c r="M41" t="str">
        <f>Koontitaulukko10[[#This Row],[Vesilaitoksen nimi]]</f>
        <v/>
      </c>
      <c r="N41" s="73" t="str">
        <f>Koontitaulukko10[[#This Row],[Vastauspvm]]</f>
        <v/>
      </c>
      <c r="O41" s="73"/>
      <c r="P41" s="40"/>
      <c r="Q41" s="40"/>
      <c r="R41" s="40"/>
      <c r="S41" s="40"/>
      <c r="T41" s="40"/>
      <c r="U41" s="40"/>
      <c r="V41" s="40"/>
      <c r="W41" s="40"/>
      <c r="X41" s="40"/>
      <c r="Y41" s="40"/>
    </row>
    <row r="42" spans="1:25" x14ac:dyDescent="0.35">
      <c r="A42" t="str">
        <f>Koontitaulukko10[[#This Row],[Kuuluuko kriteeri kyseisen laitoksen vastattavaksi]]</f>
        <v>Ei kuulu</v>
      </c>
      <c r="B42" t="str">
        <f>Koontitaulukko10[[#This Row],[Extra-kysymys]]</f>
        <v/>
      </c>
      <c r="C42" t="str">
        <f>Koontitaulukko10[[#This Row],[Kriteerin kokoluokka]]</f>
        <v>1,2,3,4</v>
      </c>
      <c r="D42" t="str">
        <f>Koontitaulukko10[[#This Row],[Kriteerin toimiala]]</f>
        <v>B</v>
      </c>
      <c r="E42" t="str">
        <f>Koontitaulukko10[[#This Row],[Pääkategoria]]</f>
        <v>Turvallinen ja toimintavarma</v>
      </c>
      <c r="F42" t="str">
        <f>Koontitaulukko10[[#This Row],[Alakategoria]]</f>
        <v>3. Kriittiset asiakkaat, väliaikainen vedenjakelu ja poikkeustilanteiden viestintä</v>
      </c>
      <c r="G42" t="str">
        <f>Koontitaulukko10[[#This Row],[Arviointikriteeri]]</f>
        <v>3.2 Varavedenjakelukaluston saatavuus ja riittävä kapasiteetti on varmistettu tavanomaisissa (pienivaikutteisissa) vedenjakelun häiriötilanteissa omalla kalustolla ja/tai muuten.</v>
      </c>
      <c r="H42" t="str">
        <f>Koontitaulukko10[[#This Row],[Huoltovarmuus]]</f>
        <v>Kyllä</v>
      </c>
      <c r="I42" t="str">
        <f>Koontitaulukko10[[#This Row],[Vastaus ]]</f>
        <v/>
      </c>
      <c r="J42">
        <f>Koontitaulukko10[[#This Row],[Vastaajan kokoluokka]]</f>
        <v>0</v>
      </c>
      <c r="K42" t="str">
        <f>Koontitaulukko10[[#This Row],[Vastaajan toimiala]]</f>
        <v/>
      </c>
      <c r="L42" t="str">
        <f>Koontitaulukko10[[#This Row],[Kunta]]</f>
        <v/>
      </c>
      <c r="M42" t="str">
        <f>Koontitaulukko10[[#This Row],[Vesilaitoksen nimi]]</f>
        <v/>
      </c>
      <c r="N42" s="73" t="str">
        <f>Koontitaulukko10[[#This Row],[Vastauspvm]]</f>
        <v/>
      </c>
      <c r="O42" s="73"/>
      <c r="P42" s="40"/>
      <c r="Q42" s="40"/>
      <c r="R42" s="40"/>
      <c r="S42" s="40"/>
      <c r="T42" s="40"/>
      <c r="U42" s="40"/>
      <c r="V42" s="40"/>
      <c r="W42" s="40"/>
      <c r="X42" s="40"/>
      <c r="Y42" s="40"/>
    </row>
    <row r="43" spans="1:25" x14ac:dyDescent="0.35">
      <c r="A43" t="str">
        <f>Koontitaulukko10[[#This Row],[Kuuluuko kriteeri kyseisen laitoksen vastattavaksi]]</f>
        <v>Ei kuulu</v>
      </c>
      <c r="B43" t="str">
        <f>Koontitaulukko10[[#This Row],[Extra-kysymys]]</f>
        <v/>
      </c>
      <c r="C43" t="str">
        <f>Koontitaulukko10[[#This Row],[Kriteerin kokoluokka]]</f>
        <v>1,2,3,4</v>
      </c>
      <c r="D43" t="str">
        <f>Koontitaulukko10[[#This Row],[Kriteerin toimiala]]</f>
        <v>B</v>
      </c>
      <c r="E43" t="str">
        <f>Koontitaulukko10[[#This Row],[Pääkategoria]]</f>
        <v>Turvallinen ja toimintavarma</v>
      </c>
      <c r="F43" t="str">
        <f>Koontitaulukko10[[#This Row],[Alakategoria]]</f>
        <v>3. Kriittiset asiakkaat, väliaikainen vedenjakelu ja poikkeustilanteiden viestintä</v>
      </c>
      <c r="G43" t="str">
        <f>Koontitaulukko10[[#This Row],[Arviointikriteeri]]</f>
        <v xml:space="preserve">3.3 Vesihuoltolaitoksen varavedenjakelu (esim. jakelupisteet, kalusto, säiliöt, pullot yms.) on suunniteltu myös laajavaikutteisiin vedenjakelutarpeisiin. </v>
      </c>
      <c r="H43" t="str">
        <f>Koontitaulukko10[[#This Row],[Huoltovarmuus]]</f>
        <v>Kyllä</v>
      </c>
      <c r="I43" t="str">
        <f>Koontitaulukko10[[#This Row],[Vastaus ]]</f>
        <v/>
      </c>
      <c r="J43">
        <f>Koontitaulukko10[[#This Row],[Vastaajan kokoluokka]]</f>
        <v>0</v>
      </c>
      <c r="K43" t="str">
        <f>Koontitaulukko10[[#This Row],[Vastaajan toimiala]]</f>
        <v/>
      </c>
      <c r="L43" t="str">
        <f>Koontitaulukko10[[#This Row],[Kunta]]</f>
        <v/>
      </c>
      <c r="M43" t="str">
        <f>Koontitaulukko10[[#This Row],[Vesilaitoksen nimi]]</f>
        <v/>
      </c>
      <c r="N43" s="73" t="str">
        <f>Koontitaulukko10[[#This Row],[Vastauspvm]]</f>
        <v/>
      </c>
      <c r="O43" s="73"/>
      <c r="P43" s="40"/>
      <c r="Q43" s="40"/>
      <c r="R43" s="40"/>
      <c r="S43" s="40"/>
      <c r="T43" s="40"/>
      <c r="U43" s="40"/>
      <c r="V43" s="40"/>
      <c r="W43" s="40"/>
      <c r="X43" s="40"/>
      <c r="Y43" s="40"/>
    </row>
    <row r="44" spans="1:25" x14ac:dyDescent="0.35">
      <c r="A44" t="str">
        <f>Koontitaulukko10[[#This Row],[Kuuluuko kriteeri kyseisen laitoksen vastattavaksi]]</f>
        <v>Ei kuulu</v>
      </c>
      <c r="B44" t="str">
        <f>Koontitaulukko10[[#This Row],[Extra-kysymys]]</f>
        <v/>
      </c>
      <c r="C44" t="str">
        <f>Koontitaulukko10[[#This Row],[Kriteerin kokoluokka]]</f>
        <v>1,2,3,4</v>
      </c>
      <c r="D44" t="str">
        <f>Koontitaulukko10[[#This Row],[Kriteerin toimiala]]</f>
        <v>B</v>
      </c>
      <c r="E44" t="str">
        <f>Koontitaulukko10[[#This Row],[Pääkategoria]]</f>
        <v>Turvallinen ja toimintavarma</v>
      </c>
      <c r="F44" t="str">
        <f>Koontitaulukko10[[#This Row],[Alakategoria]]</f>
        <v>3. Kriittiset asiakkaat, väliaikainen vedenjakelu ja poikkeustilanteiden viestintä</v>
      </c>
      <c r="G44" t="str">
        <f>Koontitaulukko10[[#This Row],[Arviointikriteeri]]</f>
        <v xml:space="preserve">3.4 Varavedenjakelua on harjoiteltu.  (esim. todellisten tilanteiden myötä) </v>
      </c>
      <c r="H44" t="str">
        <f>Koontitaulukko10[[#This Row],[Huoltovarmuus]]</f>
        <v>Kyllä</v>
      </c>
      <c r="I44" t="str">
        <f>Koontitaulukko10[[#This Row],[Vastaus ]]</f>
        <v/>
      </c>
      <c r="J44">
        <f>Koontitaulukko10[[#This Row],[Vastaajan kokoluokka]]</f>
        <v>0</v>
      </c>
      <c r="K44" t="str">
        <f>Koontitaulukko10[[#This Row],[Vastaajan toimiala]]</f>
        <v/>
      </c>
      <c r="L44" t="str">
        <f>Koontitaulukko10[[#This Row],[Kunta]]</f>
        <v/>
      </c>
      <c r="M44" t="str">
        <f>Koontitaulukko10[[#This Row],[Vesilaitoksen nimi]]</f>
        <v/>
      </c>
      <c r="N44" s="73" t="str">
        <f>Koontitaulukko10[[#This Row],[Vastauspvm]]</f>
        <v/>
      </c>
      <c r="O44" s="73"/>
      <c r="P44" s="40"/>
      <c r="Q44" s="40"/>
      <c r="R44" s="40"/>
      <c r="S44" s="40"/>
      <c r="T44" s="40"/>
      <c r="U44" s="40"/>
      <c r="V44" s="40"/>
      <c r="W44" s="40"/>
      <c r="X44" s="40"/>
      <c r="Y44" s="40"/>
    </row>
    <row r="45" spans="1:25" x14ac:dyDescent="0.35">
      <c r="A45" t="str">
        <f>Koontitaulukko10[[#This Row],[Kuuluuko kriteeri kyseisen laitoksen vastattavaksi]]</f>
        <v>Ei kuulu</v>
      </c>
      <c r="B45" t="str">
        <f>Koontitaulukko10[[#This Row],[Extra-kysymys]]</f>
        <v/>
      </c>
      <c r="C45" t="str">
        <f>Koontitaulukko10[[#This Row],[Kriteerin kokoluokka]]</f>
        <v>1,2,3,4</v>
      </c>
      <c r="D45" t="str">
        <f>Koontitaulukko10[[#This Row],[Kriteerin toimiala]]</f>
        <v>B</v>
      </c>
      <c r="E45" t="str">
        <f>Koontitaulukko10[[#This Row],[Pääkategoria]]</f>
        <v>Turvallinen ja toimintavarma</v>
      </c>
      <c r="F45" t="str">
        <f>Koontitaulukko10[[#This Row],[Alakategoria]]</f>
        <v>3. Kriittiset asiakkaat, väliaikainen vedenjakelu ja poikkeustilanteiden viestintä</v>
      </c>
      <c r="G45" t="str">
        <f>Koontitaulukko10[[#This Row],[Arviointikriteeri]]</f>
        <v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v>
      </c>
      <c r="H45" t="str">
        <f>Koontitaulukko10[[#This Row],[Huoltovarmuus]]</f>
        <v>Kyllä</v>
      </c>
      <c r="I45" t="str">
        <f>Koontitaulukko10[[#This Row],[Vastaus ]]</f>
        <v/>
      </c>
      <c r="J45">
        <f>Koontitaulukko10[[#This Row],[Vastaajan kokoluokka]]</f>
        <v>0</v>
      </c>
      <c r="K45" t="str">
        <f>Koontitaulukko10[[#This Row],[Vastaajan toimiala]]</f>
        <v/>
      </c>
      <c r="L45" t="str">
        <f>Koontitaulukko10[[#This Row],[Kunta]]</f>
        <v/>
      </c>
      <c r="M45" t="str">
        <f>Koontitaulukko10[[#This Row],[Vesilaitoksen nimi]]</f>
        <v/>
      </c>
      <c r="N45" s="73" t="str">
        <f>Koontitaulukko10[[#This Row],[Vastauspvm]]</f>
        <v/>
      </c>
      <c r="O45" s="73"/>
      <c r="P45" s="40"/>
      <c r="Q45" s="40"/>
      <c r="R45" s="40"/>
      <c r="S45" s="40"/>
      <c r="T45" s="40"/>
      <c r="U45" s="40"/>
      <c r="V45" s="40"/>
      <c r="W45" s="40"/>
      <c r="X45" s="40"/>
      <c r="Y45" s="40"/>
    </row>
    <row r="46" spans="1:25" x14ac:dyDescent="0.35">
      <c r="A46" t="str">
        <f>Koontitaulukko10[[#This Row],[Kuuluuko kriteeri kyseisen laitoksen vastattavaksi]]</f>
        <v>Ei kuulu</v>
      </c>
      <c r="B46" t="str">
        <f>Koontitaulukko10[[#This Row],[Extra-kysymys]]</f>
        <v/>
      </c>
      <c r="C46" t="str">
        <f>Koontitaulukko10[[#This Row],[Kriteerin kokoluokka]]</f>
        <v>1,2,3,4</v>
      </c>
      <c r="D46" t="str">
        <f>Koontitaulukko10[[#This Row],[Kriteerin toimiala]]</f>
        <v>B</v>
      </c>
      <c r="E46" t="str">
        <f>Koontitaulukko10[[#This Row],[Pääkategoria]]</f>
        <v>Turvallinen ja toimintavarma</v>
      </c>
      <c r="F46" t="str">
        <f>Koontitaulukko10[[#This Row],[Alakategoria]]</f>
        <v>3. Kriittiset asiakkaat, väliaikainen vedenjakelu ja poikkeustilanteiden viestintä</v>
      </c>
      <c r="G46" t="str">
        <f>Koontitaulukko10[[#This Row],[Arviointikriteeri]]</f>
        <v>3.6 Vesihuoltolaitos seuraa parametria yli 12 h vedentoimituskatkokset (kpl/v, liittyjät/vuosi)</v>
      </c>
      <c r="H46" t="str">
        <f>Koontitaulukko10[[#This Row],[Huoltovarmuus]]</f>
        <v>Kyllä</v>
      </c>
      <c r="I46" t="str">
        <f>Koontitaulukko10[[#This Row],[Vastaus ]]</f>
        <v/>
      </c>
      <c r="J46">
        <f>Koontitaulukko10[[#This Row],[Vastaajan kokoluokka]]</f>
        <v>0</v>
      </c>
      <c r="K46" t="str">
        <f>Koontitaulukko10[[#This Row],[Vastaajan toimiala]]</f>
        <v/>
      </c>
      <c r="L46" t="str">
        <f>Koontitaulukko10[[#This Row],[Kunta]]</f>
        <v/>
      </c>
      <c r="M46" t="str">
        <f>Koontitaulukko10[[#This Row],[Vesilaitoksen nimi]]</f>
        <v/>
      </c>
      <c r="N46" s="73" t="str">
        <f>Koontitaulukko10[[#This Row],[Vastauspvm]]</f>
        <v/>
      </c>
      <c r="O46" s="73"/>
      <c r="P46" s="40"/>
      <c r="Q46" s="40"/>
      <c r="R46" s="40"/>
      <c r="S46" s="40"/>
      <c r="T46" s="40"/>
      <c r="U46" s="40"/>
      <c r="V46" s="40"/>
      <c r="W46" s="40"/>
      <c r="X46" s="40"/>
      <c r="Y46" s="40"/>
    </row>
    <row r="47" spans="1:25" x14ac:dyDescent="0.35">
      <c r="A47" t="str">
        <f>Koontitaulukko10[[#This Row],[Kuuluuko kriteeri kyseisen laitoksen vastattavaksi]]</f>
        <v>Ei kuulu</v>
      </c>
      <c r="B47" t="str">
        <f>Koontitaulukko10[[#This Row],[Extra-kysymys]]</f>
        <v/>
      </c>
      <c r="C47" t="str">
        <f>Koontitaulukko10[[#This Row],[Kriteerin kokoluokka]]</f>
        <v>1,2,3,4</v>
      </c>
      <c r="D47" t="str">
        <f>Koontitaulukko10[[#This Row],[Kriteerin toimiala]]</f>
        <v>B</v>
      </c>
      <c r="E47" t="str">
        <f>Koontitaulukko10[[#This Row],[Pääkategoria]]</f>
        <v>Turvallinen ja toimintavarma</v>
      </c>
      <c r="F47" t="str">
        <f>Koontitaulukko10[[#This Row],[Alakategoria]]</f>
        <v>3. Kriittiset asiakkaat, väliaikainen vedenjakelu ja poikkeustilanteiden viestintä</v>
      </c>
      <c r="G47" t="str">
        <f>Koontitaulukko10[[#This Row],[Arviointikriteeri]]</f>
        <v>3.7 Vesihuoltolaitoksella on valmius ilmoittaa keittokehotuksesta tai muista vedenkäyttöön liittyvistä häiriöistä vedenkäyttäjille tar-koituksenmukaisia viestintäkanavia käyttäen tarvittaessa myös kohdennetusti (esim. laputtamalla, tekstiviestillä).</v>
      </c>
      <c r="H47" t="str">
        <f>Koontitaulukko10[[#This Row],[Huoltovarmuus]]</f>
        <v>Kyllä</v>
      </c>
      <c r="I47" t="str">
        <f>Koontitaulukko10[[#This Row],[Vastaus ]]</f>
        <v/>
      </c>
      <c r="J47">
        <f>Koontitaulukko10[[#This Row],[Vastaajan kokoluokka]]</f>
        <v>0</v>
      </c>
      <c r="K47" t="str">
        <f>Koontitaulukko10[[#This Row],[Vastaajan toimiala]]</f>
        <v/>
      </c>
      <c r="L47" t="str">
        <f>Koontitaulukko10[[#This Row],[Kunta]]</f>
        <v/>
      </c>
      <c r="M47" t="str">
        <f>Koontitaulukko10[[#This Row],[Vesilaitoksen nimi]]</f>
        <v/>
      </c>
      <c r="N47" s="73" t="str">
        <f>Koontitaulukko10[[#This Row],[Vastauspvm]]</f>
        <v/>
      </c>
      <c r="O47" s="73"/>
      <c r="P47" s="40"/>
      <c r="Q47" s="40"/>
      <c r="R47" s="40"/>
      <c r="S47" s="40"/>
      <c r="T47" s="40"/>
      <c r="U47" s="40"/>
      <c r="V47" s="40"/>
      <c r="W47" s="40"/>
      <c r="X47" s="40"/>
      <c r="Y47" s="40"/>
    </row>
    <row r="48" spans="1:25" x14ac:dyDescent="0.35">
      <c r="A48" t="str">
        <f>Koontitaulukko10[[#This Row],[Kuuluuko kriteeri kyseisen laitoksen vastattavaksi]]</f>
        <v>Ei kuulu</v>
      </c>
      <c r="B48" t="str">
        <f>Koontitaulukko10[[#This Row],[Extra-kysymys]]</f>
        <v/>
      </c>
      <c r="C48" t="str">
        <f>Koontitaulukko10[[#This Row],[Kriteerin kokoluokka]]</f>
        <v>1,2,3,4</v>
      </c>
      <c r="D48" t="str">
        <f>Koontitaulukko10[[#This Row],[Kriteerin toimiala]]</f>
        <v>A,B,C,D</v>
      </c>
      <c r="E48" t="str">
        <f>Koontitaulukko10[[#This Row],[Pääkategoria]]</f>
        <v>Turvallinen ja toimintavarma</v>
      </c>
      <c r="F48" t="str">
        <f>Koontitaulukko10[[#This Row],[Alakategoria]]</f>
        <v>3. Kriittiset asiakkaat, väliaikainen vedenjakelu ja poikkeustilanteiden viestintä</v>
      </c>
      <c r="G48" t="str">
        <f>Koontitaulukko10[[#This Row],[Arviointikriteeri]]</f>
        <v>3.8 On suunniteltu ja käyttöönotettavissa vaihtoehtoiset tiedon- ja toiminnanhallinnan sekä sisäisen viestinnän menetelmät, mikäli internet ja/tai normaalit tietoliikenneyhteydet eivät toimi.</v>
      </c>
      <c r="H48" t="str">
        <f>Koontitaulukko10[[#This Row],[Huoltovarmuus]]</f>
        <v>Kyllä</v>
      </c>
      <c r="I48" t="str">
        <f>Koontitaulukko10[[#This Row],[Vastaus ]]</f>
        <v/>
      </c>
      <c r="J48">
        <f>Koontitaulukko10[[#This Row],[Vastaajan kokoluokka]]</f>
        <v>0</v>
      </c>
      <c r="K48" t="str">
        <f>Koontitaulukko10[[#This Row],[Vastaajan toimiala]]</f>
        <v/>
      </c>
      <c r="L48" t="str">
        <f>Koontitaulukko10[[#This Row],[Kunta]]</f>
        <v/>
      </c>
      <c r="M48" t="str">
        <f>Koontitaulukko10[[#This Row],[Vesilaitoksen nimi]]</f>
        <v/>
      </c>
      <c r="N48" s="73" t="str">
        <f>Koontitaulukko10[[#This Row],[Vastauspvm]]</f>
        <v/>
      </c>
      <c r="O48" s="73"/>
      <c r="P48" s="40"/>
      <c r="Q48" s="40"/>
      <c r="R48" s="40"/>
      <c r="S48" s="40"/>
      <c r="T48" s="40"/>
      <c r="U48" s="40"/>
      <c r="V48" s="40"/>
      <c r="W48" s="40"/>
      <c r="X48" s="40"/>
      <c r="Y48" s="40"/>
    </row>
    <row r="49" spans="1:25" x14ac:dyDescent="0.35">
      <c r="A49" t="str">
        <f>Koontitaulukko10[[#This Row],[Kuuluuko kriteeri kyseisen laitoksen vastattavaksi]]</f>
        <v>Ei kuulu</v>
      </c>
      <c r="B49" t="str">
        <f>Koontitaulukko10[[#This Row],[Extra-kysymys]]</f>
        <v/>
      </c>
      <c r="C49" t="str">
        <f>Koontitaulukko10[[#This Row],[Kriteerin kokoluokka]]</f>
        <v>1,2,3,4</v>
      </c>
      <c r="D49" t="str">
        <f>Koontitaulukko10[[#This Row],[Kriteerin toimiala]]</f>
        <v>B</v>
      </c>
      <c r="E49" t="str">
        <f>Koontitaulukko10[[#This Row],[Pääkategoria]]</f>
        <v>Turvallinen ja toimintavarma</v>
      </c>
      <c r="F49" t="str">
        <f>Koontitaulukko10[[#This Row],[Alakategoria]]</f>
        <v>3. Kriittiset asiakkaat, väliaikainen vedenjakelu ja poikkeustilanteiden viestintä</v>
      </c>
      <c r="G49" t="str">
        <f>Koontitaulukko10[[#This Row],[Arviointikriteeri]]</f>
        <v>3.9 Putkirikkojen määrä &lt; 4 kpl/100 km/vuosi</v>
      </c>
      <c r="H49" t="str">
        <f>Koontitaulukko10[[#This Row],[Huoltovarmuus]]</f>
        <v>Kyllä</v>
      </c>
      <c r="I49" t="str">
        <f>Koontitaulukko10[[#This Row],[Vastaus ]]</f>
        <v/>
      </c>
      <c r="J49">
        <f>Koontitaulukko10[[#This Row],[Vastaajan kokoluokka]]</f>
        <v>0</v>
      </c>
      <c r="K49" t="str">
        <f>Koontitaulukko10[[#This Row],[Vastaajan toimiala]]</f>
        <v/>
      </c>
      <c r="L49" t="str">
        <f>Koontitaulukko10[[#This Row],[Kunta]]</f>
        <v/>
      </c>
      <c r="M49" t="str">
        <f>Koontitaulukko10[[#This Row],[Vesilaitoksen nimi]]</f>
        <v/>
      </c>
      <c r="N49" s="73" t="str">
        <f>Koontitaulukko10[[#This Row],[Vastauspvm]]</f>
        <v/>
      </c>
      <c r="O49" s="73"/>
      <c r="P49" s="40"/>
      <c r="Q49" s="40"/>
      <c r="R49" s="40"/>
      <c r="S49" s="40"/>
      <c r="T49" s="40"/>
      <c r="U49" s="40"/>
      <c r="V49" s="40"/>
      <c r="W49" s="40"/>
      <c r="X49" s="40"/>
      <c r="Y49" s="40"/>
    </row>
    <row r="50" spans="1:25" x14ac:dyDescent="0.35">
      <c r="A50" t="str">
        <f>Koontitaulukko10[[#This Row],[Kuuluuko kriteeri kyseisen laitoksen vastattavaksi]]</f>
        <v>Ei kuulu</v>
      </c>
      <c r="B50" t="str">
        <f>Koontitaulukko10[[#This Row],[Extra-kysymys]]</f>
        <v/>
      </c>
      <c r="C50" t="str">
        <f>Koontitaulukko10[[#This Row],[Kriteerin kokoluokka]]</f>
        <v>1,2,3,4</v>
      </c>
      <c r="D50" t="str">
        <f>Koontitaulukko10[[#This Row],[Kriteerin toimiala]]</f>
        <v>B</v>
      </c>
      <c r="E50" t="str">
        <f>Koontitaulukko10[[#This Row],[Pääkategoria]]</f>
        <v>Turvallinen ja toimintavarma</v>
      </c>
      <c r="F50" t="str">
        <f>Koontitaulukko10[[#This Row],[Alakategoria]]</f>
        <v>3. Kriittiset asiakkaat, väliaikainen vedenjakelu ja poikkeustilanteiden viestintä</v>
      </c>
      <c r="G50" t="str">
        <f>Koontitaulukko10[[#This Row],[Arviointikriteeri]]</f>
        <v>3.10 Laskuttamattoman talousveden osuus &lt; 15 % (1-4)</v>
      </c>
      <c r="H50" t="str">
        <f>Koontitaulukko10[[#This Row],[Huoltovarmuus]]</f>
        <v>Kyllä</v>
      </c>
      <c r="I50" t="str">
        <f>Koontitaulukko10[[#This Row],[Vastaus ]]</f>
        <v/>
      </c>
      <c r="J50">
        <f>Koontitaulukko10[[#This Row],[Vastaajan kokoluokka]]</f>
        <v>0</v>
      </c>
      <c r="K50" t="str">
        <f>Koontitaulukko10[[#This Row],[Vastaajan toimiala]]</f>
        <v/>
      </c>
      <c r="L50" t="str">
        <f>Koontitaulukko10[[#This Row],[Kunta]]</f>
        <v/>
      </c>
      <c r="M50" t="str">
        <f>Koontitaulukko10[[#This Row],[Vesilaitoksen nimi]]</f>
        <v/>
      </c>
      <c r="N50" s="73" t="str">
        <f>Koontitaulukko10[[#This Row],[Vastauspvm]]</f>
        <v/>
      </c>
      <c r="O50" s="73"/>
      <c r="P50" s="40"/>
      <c r="Q50" s="40"/>
      <c r="R50" s="40"/>
      <c r="S50" s="40"/>
      <c r="T50" s="40"/>
      <c r="U50" s="40"/>
      <c r="V50" s="40"/>
      <c r="W50" s="40"/>
      <c r="X50" s="40"/>
      <c r="Y50" s="40"/>
    </row>
    <row r="51" spans="1:25" x14ac:dyDescent="0.35">
      <c r="A51" t="str">
        <f>Koontitaulukko10[[#This Row],[Kuuluuko kriteeri kyseisen laitoksen vastattavaksi]]</f>
        <v>Ei kuulu</v>
      </c>
      <c r="B51" t="str">
        <f>Koontitaulukko10[[#This Row],[Extra-kysymys]]</f>
        <v/>
      </c>
      <c r="C51" t="str">
        <f>Koontitaulukko10[[#This Row],[Kriteerin kokoluokka]]</f>
        <v>1,2,3,4</v>
      </c>
      <c r="D51" t="str">
        <f>Koontitaulukko10[[#This Row],[Kriteerin toimiala]]</f>
        <v>A,B,C,D</v>
      </c>
      <c r="E51" t="str">
        <f>Koontitaulukko10[[#This Row],[Pääkategoria]]</f>
        <v>Turvallinen ja toimintavarma</v>
      </c>
      <c r="F51" t="str">
        <f>Koontitaulukko10[[#This Row],[Alakategoria]]</f>
        <v>3. Kriittiset asiakkaat, väliaikainen vedenjakelu ja poikkeustilanteiden viestintä</v>
      </c>
      <c r="G51" t="str">
        <f>Koontitaulukko10[[#This Row],[Arviointikriteeri]]</f>
        <v>3.11 Erilaisten häiriötilanteiden viestintä on suunniteltu, ohjeistettu ja sitä harjoitellaan. Yhteystiedot pidetään ajan tasalla.</v>
      </c>
      <c r="H51" t="str">
        <f>Koontitaulukko10[[#This Row],[Huoltovarmuus]]</f>
        <v>Kyllä</v>
      </c>
      <c r="I51" t="str">
        <f>Koontitaulukko10[[#This Row],[Vastaus ]]</f>
        <v/>
      </c>
      <c r="J51">
        <f>Koontitaulukko10[[#This Row],[Vastaajan kokoluokka]]</f>
        <v>0</v>
      </c>
      <c r="K51" t="str">
        <f>Koontitaulukko10[[#This Row],[Vastaajan toimiala]]</f>
        <v/>
      </c>
      <c r="L51" t="str">
        <f>Koontitaulukko10[[#This Row],[Kunta]]</f>
        <v/>
      </c>
      <c r="M51" t="str">
        <f>Koontitaulukko10[[#This Row],[Vesilaitoksen nimi]]</f>
        <v/>
      </c>
      <c r="N51" s="73" t="str">
        <f>Koontitaulukko10[[#This Row],[Vastauspvm]]</f>
        <v/>
      </c>
      <c r="O51" s="73"/>
      <c r="P51" s="40"/>
      <c r="Q51" s="40"/>
      <c r="R51" s="40"/>
      <c r="S51" s="40"/>
      <c r="T51" s="40"/>
      <c r="U51" s="40"/>
      <c r="V51" s="40"/>
      <c r="W51" s="40"/>
      <c r="X51" s="40"/>
      <c r="Y51" s="40"/>
    </row>
    <row r="52" spans="1:25" x14ac:dyDescent="0.35">
      <c r="A52" t="str">
        <f>Koontitaulukko10[[#This Row],[Kuuluuko kriteeri kyseisen laitoksen vastattavaksi]]</f>
        <v>Ei kuulu</v>
      </c>
      <c r="B52" t="str">
        <f>Koontitaulukko10[[#This Row],[Extra-kysymys]]</f>
        <v/>
      </c>
      <c r="C52" t="str">
        <f>Koontitaulukko10[[#This Row],[Kriteerin kokoluokka]]</f>
        <v>3, 4</v>
      </c>
      <c r="D52" t="str">
        <f>Koontitaulukko10[[#This Row],[Kriteerin toimiala]]</f>
        <v>B</v>
      </c>
      <c r="E52" t="str">
        <f>Koontitaulukko10[[#This Row],[Pääkategoria]]</f>
        <v>Turvallinen ja toimintavarma</v>
      </c>
      <c r="F52" t="str">
        <f>Koontitaulukko10[[#This Row],[Alakategoria]]</f>
        <v>3. Kriittiset asiakkaat, väliaikainen vedenjakelu ja poikkeustilanteiden viestintä</v>
      </c>
      <c r="G52" t="str">
        <f>Koontitaulukko10[[#This Row],[Arviointikriteeri]]</f>
        <v>3.12 Kriittisten asiakkaiden kanssa on käyty neuvottelu vedensaannin turvaamisesta ja tarpeellisten toimenpiteiden määrittely on tehty esim. erillisellä sopimuksella tai kriittisiä asiakkaita ei ole.</v>
      </c>
      <c r="H52" t="str">
        <f>Koontitaulukko10[[#This Row],[Huoltovarmuus]]</f>
        <v>Kyllä</v>
      </c>
      <c r="I52" t="str">
        <f>Koontitaulukko10[[#This Row],[Vastaus ]]</f>
        <v/>
      </c>
      <c r="J52">
        <f>Koontitaulukko10[[#This Row],[Vastaajan kokoluokka]]</f>
        <v>0</v>
      </c>
      <c r="K52" t="str">
        <f>Koontitaulukko10[[#This Row],[Vastaajan toimiala]]</f>
        <v/>
      </c>
      <c r="L52" t="str">
        <f>Koontitaulukko10[[#This Row],[Kunta]]</f>
        <v/>
      </c>
      <c r="M52" t="str">
        <f>Koontitaulukko10[[#This Row],[Vesilaitoksen nimi]]</f>
        <v/>
      </c>
      <c r="N52" s="73" t="str">
        <f>Koontitaulukko10[[#This Row],[Vastauspvm]]</f>
        <v/>
      </c>
      <c r="O52" s="73"/>
      <c r="P52" s="40"/>
      <c r="Q52" s="40"/>
      <c r="R52" s="40"/>
      <c r="S52" s="40"/>
      <c r="T52" s="40"/>
      <c r="U52" s="40"/>
      <c r="V52" s="40"/>
      <c r="W52" s="40"/>
      <c r="X52" s="40"/>
      <c r="Y52" s="40"/>
    </row>
    <row r="53" spans="1:25" x14ac:dyDescent="0.35">
      <c r="A53" t="str">
        <f>Koontitaulukko10[[#This Row],[Kuuluuko kriteeri kyseisen laitoksen vastattavaksi]]</f>
        <v>Ei kuulu</v>
      </c>
      <c r="B53" t="str">
        <f>Koontitaulukko10[[#This Row],[Extra-kysymys]]</f>
        <v/>
      </c>
      <c r="C53" t="str">
        <f>Koontitaulukko10[[#This Row],[Kriteerin kokoluokka]]</f>
        <v xml:space="preserve">1,2,3,4 </v>
      </c>
      <c r="D53" t="str">
        <f>Koontitaulukko10[[#This Row],[Kriteerin toimiala]]</f>
        <v>A,B,C,D</v>
      </c>
      <c r="E53" t="str">
        <f>Koontitaulukko10[[#This Row],[Pääkategoria]]</f>
        <v>Turvallinen ja toimintavarma</v>
      </c>
      <c r="F53" t="str">
        <f>Koontitaulukko10[[#This Row],[Alakategoria]]</f>
        <v>_Otsikkorivi</v>
      </c>
      <c r="G53" t="str">
        <f>Koontitaulukko10[[#This Row],[Arviointikriteeri]]</f>
        <v>4. Kemikaalit, varaosat ja kriittiset palvelut</v>
      </c>
      <c r="H53" t="str">
        <f>Koontitaulukko10[[#This Row],[Huoltovarmuus]]</f>
        <v>Ei</v>
      </c>
      <c r="I53" t="str">
        <f>Koontitaulukko10[[#This Row],[Vastaus ]]</f>
        <v/>
      </c>
      <c r="J53">
        <f>Koontitaulukko10[[#This Row],[Vastaajan kokoluokka]]</f>
        <v>0</v>
      </c>
      <c r="K53" t="str">
        <f>Koontitaulukko10[[#This Row],[Vastaajan toimiala]]</f>
        <v/>
      </c>
      <c r="L53" t="str">
        <f>Koontitaulukko10[[#This Row],[Kunta]]</f>
        <v/>
      </c>
      <c r="M53" t="str">
        <f>Koontitaulukko10[[#This Row],[Vesilaitoksen nimi]]</f>
        <v/>
      </c>
      <c r="N53" s="73" t="str">
        <f>Koontitaulukko10[[#This Row],[Vastauspvm]]</f>
        <v/>
      </c>
      <c r="O53" s="73"/>
      <c r="P53" s="40"/>
      <c r="Q53" s="40"/>
      <c r="R53" s="40"/>
      <c r="S53" s="40"/>
      <c r="T53" s="40"/>
      <c r="U53" s="40"/>
      <c r="V53" s="40"/>
      <c r="W53" s="40"/>
      <c r="X53" s="40"/>
      <c r="Y53" s="40"/>
    </row>
    <row r="54" spans="1:25" hidden="1" x14ac:dyDescent="0.35">
      <c r="A54" t="str">
        <f>Koontitaulukko10[[#This Row],[Kuuluuko kriteeri kyseisen laitoksen vastattavaksi]]</f>
        <v>Ei kuulu</v>
      </c>
      <c r="B54" t="str">
        <f>Koontitaulukko10[[#This Row],[Extra-kysymys]]</f>
        <v/>
      </c>
      <c r="C54" t="str">
        <f>Koontitaulukko10[[#This Row],[Kriteerin kokoluokka]]</f>
        <v>1,2,3,4</v>
      </c>
      <c r="D54" t="str">
        <f>Koontitaulukko10[[#This Row],[Kriteerin toimiala]]</f>
        <v>A,B,C,D</v>
      </c>
      <c r="E54" t="str">
        <f>Koontitaulukko10[[#This Row],[Pääkategoria]]</f>
        <v>Turvallinen ja toimintavarma</v>
      </c>
      <c r="F54" t="str">
        <f>Koontitaulukko10[[#This Row],[Alakategoria]]</f>
        <v>4. Kemikaalit, varaosat ja kriittiset palvelut</v>
      </c>
      <c r="G54" t="str">
        <f>Koontitaulukko10[[#This Row],[Arviointikriteeri]]</f>
        <v xml:space="preserve">4.1 Vesihuoltolaitoksen kriittiset materiaalit (kemikaalit, varaosat, yms) on tunnistettu. </v>
      </c>
      <c r="H54" t="str">
        <f>Koontitaulukko10[[#This Row],[Huoltovarmuus]]</f>
        <v>Kyllä</v>
      </c>
      <c r="I54" t="str">
        <f>Koontitaulukko10[[#This Row],[Vastaus ]]</f>
        <v/>
      </c>
      <c r="J54">
        <f>Koontitaulukko10[[#This Row],[Vastaajan kokoluokka]]</f>
        <v>0</v>
      </c>
      <c r="K54" t="str">
        <f>Koontitaulukko10[[#This Row],[Vastaajan toimiala]]</f>
        <v/>
      </c>
      <c r="L54" t="str">
        <f>Koontitaulukko10[[#This Row],[Kunta]]</f>
        <v/>
      </c>
      <c r="M54" t="str">
        <f>Koontitaulukko10[[#This Row],[Vesilaitoksen nimi]]</f>
        <v/>
      </c>
      <c r="N54" s="73" t="str">
        <f>Koontitaulukko10[[#This Row],[Vastauspvm]]</f>
        <v/>
      </c>
      <c r="O54" s="73"/>
      <c r="P54" s="40"/>
      <c r="Q54" s="40"/>
      <c r="R54" s="40"/>
      <c r="S54" s="40"/>
      <c r="T54" s="40"/>
      <c r="U54" s="40"/>
      <c r="V54" s="40"/>
      <c r="W54" s="40"/>
      <c r="X54" s="40"/>
      <c r="Y54" s="40"/>
    </row>
    <row r="55" spans="1:25" x14ac:dyDescent="0.35">
      <c r="A55" t="str">
        <f>Koontitaulukko10[[#This Row],[Kuuluuko kriteeri kyseisen laitoksen vastattavaksi]]</f>
        <v>Ei kuulu</v>
      </c>
      <c r="B55" t="str">
        <f>Koontitaulukko10[[#This Row],[Extra-kysymys]]</f>
        <v/>
      </c>
      <c r="C55" t="str">
        <f>Koontitaulukko10[[#This Row],[Kriteerin kokoluokka]]</f>
        <v>1,2,3,4</v>
      </c>
      <c r="D55" t="str">
        <f>Koontitaulukko10[[#This Row],[Kriteerin toimiala]]</f>
        <v>A,B,C,D</v>
      </c>
      <c r="E55" t="str">
        <f>Koontitaulukko10[[#This Row],[Pääkategoria]]</f>
        <v>Turvallinen ja toimintavarma</v>
      </c>
      <c r="F55" t="str">
        <f>Koontitaulukko10[[#This Row],[Alakategoria]]</f>
        <v>4. Kemikaalit, varaosat ja kriittiset palvelut</v>
      </c>
      <c r="G55" t="str">
        <f>Koontitaulukko10[[#This Row],[Arviointikriteeri]]</f>
        <v>4.2 Kriittisten materiaalien riittävä varastokapasiteetti ja saatavuus on määritetty ja järjestetty.</v>
      </c>
      <c r="H55" t="str">
        <f>Koontitaulukko10[[#This Row],[Huoltovarmuus]]</f>
        <v>Kyllä</v>
      </c>
      <c r="I55" t="str">
        <f>Koontitaulukko10[[#This Row],[Vastaus ]]</f>
        <v/>
      </c>
      <c r="J55">
        <f>Koontitaulukko10[[#This Row],[Vastaajan kokoluokka]]</f>
        <v>0</v>
      </c>
      <c r="K55" t="str">
        <f>Koontitaulukko10[[#This Row],[Vastaajan toimiala]]</f>
        <v/>
      </c>
      <c r="L55" t="str">
        <f>Koontitaulukko10[[#This Row],[Kunta]]</f>
        <v/>
      </c>
      <c r="M55" t="str">
        <f>Koontitaulukko10[[#This Row],[Vesilaitoksen nimi]]</f>
        <v/>
      </c>
      <c r="N55" s="73" t="str">
        <f>Koontitaulukko10[[#This Row],[Vastauspvm]]</f>
        <v/>
      </c>
      <c r="O55" s="73"/>
    </row>
    <row r="56" spans="1:25" x14ac:dyDescent="0.35">
      <c r="A56" t="str">
        <f>Koontitaulukko10[[#This Row],[Kuuluuko kriteeri kyseisen laitoksen vastattavaksi]]</f>
        <v>Ei kuulu</v>
      </c>
      <c r="B56" t="str">
        <f>Koontitaulukko10[[#This Row],[Extra-kysymys]]</f>
        <v/>
      </c>
      <c r="C56" t="str">
        <f>Koontitaulukko10[[#This Row],[Kriteerin kokoluokka]]</f>
        <v>2,3,4</v>
      </c>
      <c r="D56" t="str">
        <f>Koontitaulukko10[[#This Row],[Kriteerin toimiala]]</f>
        <v>A,B,C,D</v>
      </c>
      <c r="E56" t="str">
        <f>Koontitaulukko10[[#This Row],[Pääkategoria]]</f>
        <v>Turvallinen ja toimintavarma</v>
      </c>
      <c r="F56" t="str">
        <f>Koontitaulukko10[[#This Row],[Alakategoria]]</f>
        <v>4. Kemikaalit, varaosat ja kriittiset palvelut</v>
      </c>
      <c r="G56" t="str">
        <f>Koontitaulukko10[[#This Row],[Arviointikriteeri]]</f>
        <v xml:space="preserve">4.3 Toimittajien kanssa on neuvoteltu jatkuvuudenhallinnasta. </v>
      </c>
      <c r="H56" t="str">
        <f>Koontitaulukko10[[#This Row],[Huoltovarmuus]]</f>
        <v>Kyllä</v>
      </c>
      <c r="I56" t="str">
        <f>Koontitaulukko10[[#This Row],[Vastaus ]]</f>
        <v/>
      </c>
      <c r="J56">
        <f>Koontitaulukko10[[#This Row],[Vastaajan kokoluokka]]</f>
        <v>0</v>
      </c>
      <c r="K56" t="str">
        <f>Koontitaulukko10[[#This Row],[Vastaajan toimiala]]</f>
        <v/>
      </c>
      <c r="L56" t="str">
        <f>Koontitaulukko10[[#This Row],[Kunta]]</f>
        <v/>
      </c>
      <c r="M56" t="str">
        <f>Koontitaulukko10[[#This Row],[Vesilaitoksen nimi]]</f>
        <v/>
      </c>
      <c r="N56" s="73" t="str">
        <f>Koontitaulukko10[[#This Row],[Vastauspvm]]</f>
        <v/>
      </c>
      <c r="O56" s="73"/>
    </row>
    <row r="57" spans="1:25" x14ac:dyDescent="0.35">
      <c r="A57" t="str">
        <f>Koontitaulukko10[[#This Row],[Kuuluuko kriteeri kyseisen laitoksen vastattavaksi]]</f>
        <v>Ei kuulu</v>
      </c>
      <c r="B57" t="str">
        <f>Koontitaulukko10[[#This Row],[Extra-kysymys]]</f>
        <v/>
      </c>
      <c r="C57">
        <f>Koontitaulukko10[[#This Row],[Kriteerin kokoluokka]]</f>
        <v>3.4</v>
      </c>
      <c r="D57" t="str">
        <f>Koontitaulukko10[[#This Row],[Kriteerin toimiala]]</f>
        <v>A,B,C,D</v>
      </c>
      <c r="E57" t="str">
        <f>Koontitaulukko10[[#This Row],[Pääkategoria]]</f>
        <v>Turvallinen ja toimintavarma</v>
      </c>
      <c r="F57" t="str">
        <f>Koontitaulukko10[[#This Row],[Alakategoria]]</f>
        <v>4. Kemikaalit, varaosat ja kriittiset palvelut</v>
      </c>
      <c r="G57" t="str">
        <f>Koontitaulukko10[[#This Row],[Arviointikriteeri]]</f>
        <v xml:space="preserve">4.4 Kriittisten materiaalien saanti on otettu huomioon sopimuksissa (esim. SOPIVA-sopimuslausekkeet). </v>
      </c>
      <c r="H57" t="str">
        <f>Koontitaulukko10[[#This Row],[Huoltovarmuus]]</f>
        <v>Kyllä</v>
      </c>
      <c r="I57" t="str">
        <f>Koontitaulukko10[[#This Row],[Vastaus ]]</f>
        <v/>
      </c>
      <c r="J57">
        <f>Koontitaulukko10[[#This Row],[Vastaajan kokoluokka]]</f>
        <v>0</v>
      </c>
      <c r="K57" t="str">
        <f>Koontitaulukko10[[#This Row],[Vastaajan toimiala]]</f>
        <v/>
      </c>
      <c r="L57" t="str">
        <f>Koontitaulukko10[[#This Row],[Kunta]]</f>
        <v/>
      </c>
      <c r="M57" t="str">
        <f>Koontitaulukko10[[#This Row],[Vesilaitoksen nimi]]</f>
        <v/>
      </c>
      <c r="N57" s="73" t="str">
        <f>Koontitaulukko10[[#This Row],[Vastauspvm]]</f>
        <v/>
      </c>
      <c r="O57" s="73"/>
    </row>
    <row r="58" spans="1:25" x14ac:dyDescent="0.35">
      <c r="A58" t="str">
        <f>Koontitaulukko10[[#This Row],[Kuuluuko kriteeri kyseisen laitoksen vastattavaksi]]</f>
        <v>Ei kuulu</v>
      </c>
      <c r="B58" t="str">
        <f>Koontitaulukko10[[#This Row],[Extra-kysymys]]</f>
        <v/>
      </c>
      <c r="C58" t="str">
        <f>Koontitaulukko10[[#This Row],[Kriteerin kokoluokka]]</f>
        <v>1,2,3,4</v>
      </c>
      <c r="D58" t="str">
        <f>Koontitaulukko10[[#This Row],[Kriteerin toimiala]]</f>
        <v>A,B,C,D</v>
      </c>
      <c r="E58" t="str">
        <f>Koontitaulukko10[[#This Row],[Pääkategoria]]</f>
        <v>Turvallinen ja toimintavarma</v>
      </c>
      <c r="F58" t="str">
        <f>Koontitaulukko10[[#This Row],[Alakategoria]]</f>
        <v>4. Kemikaalit, varaosat ja kriittiset palvelut</v>
      </c>
      <c r="G58" t="str">
        <f>Koontitaulukko10[[#This Row],[Arviointikriteeri]]</f>
        <v>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v>
      </c>
      <c r="H58" t="str">
        <f>Koontitaulukko10[[#This Row],[Huoltovarmuus]]</f>
        <v>Kyllä</v>
      </c>
      <c r="I58" t="str">
        <f>Koontitaulukko10[[#This Row],[Vastaus ]]</f>
        <v/>
      </c>
      <c r="J58">
        <f>Koontitaulukko10[[#This Row],[Vastaajan kokoluokka]]</f>
        <v>0</v>
      </c>
      <c r="K58" t="str">
        <f>Koontitaulukko10[[#This Row],[Vastaajan toimiala]]</f>
        <v/>
      </c>
      <c r="L58" t="str">
        <f>Koontitaulukko10[[#This Row],[Kunta]]</f>
        <v/>
      </c>
      <c r="M58" t="str">
        <f>Koontitaulukko10[[#This Row],[Vesilaitoksen nimi]]</f>
        <v/>
      </c>
      <c r="N58" s="73" t="str">
        <f>Koontitaulukko10[[#This Row],[Vastauspvm]]</f>
        <v/>
      </c>
      <c r="O58" s="73"/>
    </row>
    <row r="59" spans="1:25" x14ac:dyDescent="0.35">
      <c r="A59" t="str">
        <f>Koontitaulukko10[[#This Row],[Kuuluuko kriteeri kyseisen laitoksen vastattavaksi]]</f>
        <v>Ei kuulu</v>
      </c>
      <c r="B59" t="str">
        <f>Koontitaulukko10[[#This Row],[Extra-kysymys]]</f>
        <v/>
      </c>
      <c r="C59" t="str">
        <f>Koontitaulukko10[[#This Row],[Kriteerin kokoluokka]]</f>
        <v>1,2,3,4</v>
      </c>
      <c r="D59" t="str">
        <f>Koontitaulukko10[[#This Row],[Kriteerin toimiala]]</f>
        <v>A,B,C,D</v>
      </c>
      <c r="E59" t="str">
        <f>Koontitaulukko10[[#This Row],[Pääkategoria]]</f>
        <v>Turvallinen ja toimintavarma</v>
      </c>
      <c r="F59" t="str">
        <f>Koontitaulukko10[[#This Row],[Alakategoria]]</f>
        <v>4. Kemikaalit, varaosat ja kriittiset palvelut</v>
      </c>
      <c r="G59" t="str">
        <f>Koontitaulukko10[[#This Row],[Arviointikriteeri]]</f>
        <v>4.6 Vesihuoltolaitoksen kriittiset palvelut (perustoiminnan ylläpitämisen edellyttämät jatkuvat palvelut, esim. logistiikka) on tunnistettu.</v>
      </c>
      <c r="H59" t="str">
        <f>Koontitaulukko10[[#This Row],[Huoltovarmuus]]</f>
        <v>Kyllä</v>
      </c>
      <c r="I59" t="str">
        <f>Koontitaulukko10[[#This Row],[Vastaus ]]</f>
        <v/>
      </c>
      <c r="J59">
        <f>Koontitaulukko10[[#This Row],[Vastaajan kokoluokka]]</f>
        <v>0</v>
      </c>
      <c r="K59" t="str">
        <f>Koontitaulukko10[[#This Row],[Vastaajan toimiala]]</f>
        <v/>
      </c>
      <c r="L59" t="str">
        <f>Koontitaulukko10[[#This Row],[Kunta]]</f>
        <v/>
      </c>
      <c r="M59" t="str">
        <f>Koontitaulukko10[[#This Row],[Vesilaitoksen nimi]]</f>
        <v/>
      </c>
      <c r="N59" s="73" t="str">
        <f>Koontitaulukko10[[#This Row],[Vastauspvm]]</f>
        <v/>
      </c>
      <c r="O59" s="73"/>
    </row>
    <row r="60" spans="1:25" x14ac:dyDescent="0.35">
      <c r="A60" t="str">
        <f>Koontitaulukko10[[#This Row],[Kuuluuko kriteeri kyseisen laitoksen vastattavaksi]]</f>
        <v>Ei kuulu</v>
      </c>
      <c r="B60" t="str">
        <f>Koontitaulukko10[[#This Row],[Extra-kysymys]]</f>
        <v/>
      </c>
      <c r="C60" t="str">
        <f>Koontitaulukko10[[#This Row],[Kriteerin kokoluokka]]</f>
        <v>1,2,3,4</v>
      </c>
      <c r="D60" t="str">
        <f>Koontitaulukko10[[#This Row],[Kriteerin toimiala]]</f>
        <v>A,B,C,D</v>
      </c>
      <c r="E60" t="str">
        <f>Koontitaulukko10[[#This Row],[Pääkategoria]]</f>
        <v>Turvallinen ja toimintavarma</v>
      </c>
      <c r="F60" t="str">
        <f>Koontitaulukko10[[#This Row],[Alakategoria]]</f>
        <v>4. Kemikaalit, varaosat ja kriittiset palvelut</v>
      </c>
      <c r="G60" t="str">
        <f>Koontitaulukko10[[#This Row],[Arviointikriteeri]]</f>
        <v>4.7 Vesihuoltolaitoksen kriittisten palveluiden riittävä saatavuus on määritetty ja varmistettu.</v>
      </c>
      <c r="H60" t="str">
        <f>Koontitaulukko10[[#This Row],[Huoltovarmuus]]</f>
        <v>Kyllä</v>
      </c>
      <c r="I60" t="str">
        <f>Koontitaulukko10[[#This Row],[Vastaus ]]</f>
        <v/>
      </c>
      <c r="J60">
        <f>Koontitaulukko10[[#This Row],[Vastaajan kokoluokka]]</f>
        <v>0</v>
      </c>
      <c r="K60" t="str">
        <f>Koontitaulukko10[[#This Row],[Vastaajan toimiala]]</f>
        <v/>
      </c>
      <c r="L60" t="str">
        <f>Koontitaulukko10[[#This Row],[Kunta]]</f>
        <v/>
      </c>
      <c r="M60" t="str">
        <f>Koontitaulukko10[[#This Row],[Vesilaitoksen nimi]]</f>
        <v/>
      </c>
      <c r="N60" s="73" t="str">
        <f>Koontitaulukko10[[#This Row],[Vastauspvm]]</f>
        <v/>
      </c>
      <c r="O60" s="73"/>
    </row>
    <row r="61" spans="1:25" x14ac:dyDescent="0.35">
      <c r="A61" t="str">
        <f>Koontitaulukko10[[#This Row],[Kuuluuko kriteeri kyseisen laitoksen vastattavaksi]]</f>
        <v>Ei kuulu</v>
      </c>
      <c r="B61" t="str">
        <f>Koontitaulukko10[[#This Row],[Extra-kysymys]]</f>
        <v/>
      </c>
      <c r="C61" t="str">
        <f>Koontitaulukko10[[#This Row],[Kriteerin kokoluokka]]</f>
        <v>2,3,4</v>
      </c>
      <c r="D61" t="str">
        <f>Koontitaulukko10[[#This Row],[Kriteerin toimiala]]</f>
        <v>A,B,C,D</v>
      </c>
      <c r="E61" t="str">
        <f>Koontitaulukko10[[#This Row],[Pääkategoria]]</f>
        <v>Turvallinen ja toimintavarma</v>
      </c>
      <c r="F61" t="str">
        <f>Koontitaulukko10[[#This Row],[Alakategoria]]</f>
        <v>4. Kemikaalit, varaosat ja kriittiset palvelut</v>
      </c>
      <c r="G61" t="str">
        <f>Koontitaulukko10[[#This Row],[Arviointikriteeri]]</f>
        <v>4.8 Palvelutarjoajien kanssa on neuvoteltu jatkuvuudenhallinnasta. (esim. VAP-varaukset)</v>
      </c>
      <c r="H61" t="str">
        <f>Koontitaulukko10[[#This Row],[Huoltovarmuus]]</f>
        <v>Kyllä</v>
      </c>
      <c r="I61" t="str">
        <f>Koontitaulukko10[[#This Row],[Vastaus ]]</f>
        <v/>
      </c>
      <c r="J61">
        <f>Koontitaulukko10[[#This Row],[Vastaajan kokoluokka]]</f>
        <v>0</v>
      </c>
      <c r="K61" t="str">
        <f>Koontitaulukko10[[#This Row],[Vastaajan toimiala]]</f>
        <v/>
      </c>
      <c r="L61" t="str">
        <f>Koontitaulukko10[[#This Row],[Kunta]]</f>
        <v/>
      </c>
      <c r="M61" t="str">
        <f>Koontitaulukko10[[#This Row],[Vesilaitoksen nimi]]</f>
        <v/>
      </c>
      <c r="N61" s="73" t="str">
        <f>Koontitaulukko10[[#This Row],[Vastauspvm]]</f>
        <v/>
      </c>
      <c r="O61" s="73"/>
    </row>
    <row r="62" spans="1:25" x14ac:dyDescent="0.35">
      <c r="A62" t="str">
        <f>Koontitaulukko10[[#This Row],[Kuuluuko kriteeri kyseisen laitoksen vastattavaksi]]</f>
        <v>Ei kuulu</v>
      </c>
      <c r="B62" t="str">
        <f>Koontitaulukko10[[#This Row],[Extra-kysymys]]</f>
        <v/>
      </c>
      <c r="C62">
        <f>Koontitaulukko10[[#This Row],[Kriteerin kokoluokka]]</f>
        <v>3.4</v>
      </c>
      <c r="D62" t="str">
        <f>Koontitaulukko10[[#This Row],[Kriteerin toimiala]]</f>
        <v>A,B,C,D</v>
      </c>
      <c r="E62" t="str">
        <f>Koontitaulukko10[[#This Row],[Pääkategoria]]</f>
        <v>Turvallinen ja toimintavarma</v>
      </c>
      <c r="F62" t="str">
        <f>Koontitaulukko10[[#This Row],[Alakategoria]]</f>
        <v>4. Kemikaalit, varaosat ja kriittiset palvelut</v>
      </c>
      <c r="G62" t="str">
        <f>Koontitaulukko10[[#This Row],[Arviointikriteeri]]</f>
        <v>4.9 Kriittisten palvelujen saanti on otettu huomioon sopimuksissa (esim. SOPIVA-sopimuslausekkeet).</v>
      </c>
      <c r="H62" t="str">
        <f>Koontitaulukko10[[#This Row],[Huoltovarmuus]]</f>
        <v>Kyllä</v>
      </c>
      <c r="I62" t="str">
        <f>Koontitaulukko10[[#This Row],[Vastaus ]]</f>
        <v/>
      </c>
      <c r="J62">
        <f>Koontitaulukko10[[#This Row],[Vastaajan kokoluokka]]</f>
        <v>0</v>
      </c>
      <c r="K62" t="str">
        <f>Koontitaulukko10[[#This Row],[Vastaajan toimiala]]</f>
        <v/>
      </c>
      <c r="L62" t="str">
        <f>Koontitaulukko10[[#This Row],[Kunta]]</f>
        <v/>
      </c>
      <c r="M62" t="str">
        <f>Koontitaulukko10[[#This Row],[Vesilaitoksen nimi]]</f>
        <v/>
      </c>
      <c r="N62" s="73" t="str">
        <f>Koontitaulukko10[[#This Row],[Vastauspvm]]</f>
        <v/>
      </c>
      <c r="O62" s="73"/>
    </row>
    <row r="63" spans="1:25" x14ac:dyDescent="0.35">
      <c r="A63" t="str">
        <f>Koontitaulukko10[[#This Row],[Kuuluuko kriteeri kyseisen laitoksen vastattavaksi]]</f>
        <v>Ei kuulu</v>
      </c>
      <c r="B63" t="str">
        <f>Koontitaulukko10[[#This Row],[Extra-kysymys]]</f>
        <v/>
      </c>
      <c r="C63" t="str">
        <f>Koontitaulukko10[[#This Row],[Kriteerin kokoluokka]]</f>
        <v xml:space="preserve">1,2,3,4 </v>
      </c>
      <c r="D63" t="str">
        <f>Koontitaulukko10[[#This Row],[Kriteerin toimiala]]</f>
        <v>A,B,C,D</v>
      </c>
      <c r="E63" t="str">
        <f>Koontitaulukko10[[#This Row],[Pääkategoria]]</f>
        <v>Kustannustehokas ja organisoitu</v>
      </c>
      <c r="F63" t="str">
        <f>Koontitaulukko10[[#This Row],[Alakategoria]]</f>
        <v>_Otsikkorivi</v>
      </c>
      <c r="G63" t="str">
        <f>Koontitaulukko10[[#This Row],[Arviointikriteeri]]</f>
        <v>5. Laitoksella on riittävät henkilöstöresurssit ja ammattitaitoinen henkilökunta, ja varallaolo on suunniteltu</v>
      </c>
      <c r="H63" t="str">
        <f>Koontitaulukko10[[#This Row],[Huoltovarmuus]]</f>
        <v>Ei</v>
      </c>
      <c r="I63" t="str">
        <f>Koontitaulukko10[[#This Row],[Vastaus ]]</f>
        <v/>
      </c>
      <c r="J63">
        <f>Koontitaulukko10[[#This Row],[Vastaajan kokoluokka]]</f>
        <v>0</v>
      </c>
      <c r="K63" t="str">
        <f>Koontitaulukko10[[#This Row],[Vastaajan toimiala]]</f>
        <v/>
      </c>
      <c r="L63" t="str">
        <f>Koontitaulukko10[[#This Row],[Kunta]]</f>
        <v/>
      </c>
      <c r="M63" t="str">
        <f>Koontitaulukko10[[#This Row],[Vesilaitoksen nimi]]</f>
        <v/>
      </c>
      <c r="N63" s="73" t="str">
        <f>Koontitaulukko10[[#This Row],[Vastauspvm]]</f>
        <v/>
      </c>
      <c r="O63" s="73"/>
    </row>
    <row r="64" spans="1:25" hidden="1" x14ac:dyDescent="0.35">
      <c r="A64" t="str">
        <f>Koontitaulukko10[[#This Row],[Kuuluuko kriteeri kyseisen laitoksen vastattavaksi]]</f>
        <v>Ei kuulu</v>
      </c>
      <c r="B64" t="str">
        <f>Koontitaulukko10[[#This Row],[Extra-kysymys]]</f>
        <v/>
      </c>
      <c r="C64" t="str">
        <f>Koontitaulukko10[[#This Row],[Kriteerin kokoluokka]]</f>
        <v>1,2,3,4</v>
      </c>
      <c r="D64" t="str">
        <f>Koontitaulukko10[[#This Row],[Kriteerin toimiala]]</f>
        <v>A,B,C,D</v>
      </c>
      <c r="E64" t="str">
        <f>Koontitaulukko10[[#This Row],[Pääkategoria]]</f>
        <v>Kustannustehokas ja organisoitu</v>
      </c>
      <c r="F64" t="str">
        <f>Koontitaulukko10[[#This Row],[Alakategoria]]</f>
        <v>5. Laitoksella on riittävät henkilöstöresurssit ja ammattitaitoinen henkilökunta, ja varallaolo on suunniteltu</v>
      </c>
      <c r="G64" t="str">
        <f>Koontitaulukko10[[#This Row],[Arviointikriteeri]]</f>
        <v>5.1 Henkilöstöllä on mahdollisuus kouluttautua ja työnantaja järjestää koulutusta havaitun tarpeen mukaan säännöllisesti.</v>
      </c>
      <c r="H64" t="str">
        <f>Koontitaulukko10[[#This Row],[Huoltovarmuus]]</f>
        <v>Ei</v>
      </c>
      <c r="I64" t="str">
        <f>Koontitaulukko10[[#This Row],[Vastaus ]]</f>
        <v/>
      </c>
      <c r="J64">
        <f>Koontitaulukko10[[#This Row],[Vastaajan kokoluokka]]</f>
        <v>0</v>
      </c>
      <c r="K64" t="str">
        <f>Koontitaulukko10[[#This Row],[Vastaajan toimiala]]</f>
        <v/>
      </c>
      <c r="L64" t="str">
        <f>Koontitaulukko10[[#This Row],[Kunta]]</f>
        <v/>
      </c>
      <c r="M64" t="str">
        <f>Koontitaulukko10[[#This Row],[Vesilaitoksen nimi]]</f>
        <v/>
      </c>
      <c r="N64" s="73" t="str">
        <f>Koontitaulukko10[[#This Row],[Vastauspvm]]</f>
        <v/>
      </c>
      <c r="O64" s="73"/>
    </row>
    <row r="65" spans="1:15" x14ac:dyDescent="0.35">
      <c r="A65" t="str">
        <f>Koontitaulukko10[[#This Row],[Kuuluuko kriteeri kyseisen laitoksen vastattavaksi]]</f>
        <v>Ei kuulu</v>
      </c>
      <c r="B65" t="str">
        <f>Koontitaulukko10[[#This Row],[Extra-kysymys]]</f>
        <v/>
      </c>
      <c r="C65" t="str">
        <f>Koontitaulukko10[[#This Row],[Kriteerin kokoluokka]]</f>
        <v>1,2,3,4</v>
      </c>
      <c r="D65" t="str">
        <f>Koontitaulukko10[[#This Row],[Kriteerin toimiala]]</f>
        <v>A,B,C,D</v>
      </c>
      <c r="E65" t="str">
        <f>Koontitaulukko10[[#This Row],[Pääkategoria]]</f>
        <v>Kustannustehokas ja organisoitu</v>
      </c>
      <c r="F65" t="str">
        <f>Koontitaulukko10[[#This Row],[Alakategoria]]</f>
        <v>5. Laitoksella on riittävät henkilöstöresurssit ja ammattitaitoinen henkilökunta, ja varallaolo on suunniteltu</v>
      </c>
      <c r="G65" t="str">
        <f>Koontitaulukko10[[#This Row],[Arviointikriteeri]]</f>
        <v>5.2 Vesihuoltolaitoksella on varallaolojärjestelmä, joka turvaa laitoksen operatiivisen toiminnan 24/7. Työajan ulkopuolisen ajan johtamisjärjestelyt on sovittu ja ohjeistettu. Hälytysyhteystieto on olemassa.</v>
      </c>
      <c r="H65" t="str">
        <f>Koontitaulukko10[[#This Row],[Huoltovarmuus]]</f>
        <v>Kyllä</v>
      </c>
      <c r="I65" t="str">
        <f>Koontitaulukko10[[#This Row],[Vastaus ]]</f>
        <v/>
      </c>
      <c r="J65">
        <f>Koontitaulukko10[[#This Row],[Vastaajan kokoluokka]]</f>
        <v>0</v>
      </c>
      <c r="K65" t="str">
        <f>Koontitaulukko10[[#This Row],[Vastaajan toimiala]]</f>
        <v/>
      </c>
      <c r="L65" t="str">
        <f>Koontitaulukko10[[#This Row],[Kunta]]</f>
        <v/>
      </c>
      <c r="M65" t="str">
        <f>Koontitaulukko10[[#This Row],[Vesilaitoksen nimi]]</f>
        <v/>
      </c>
      <c r="N65" s="73" t="str">
        <f>Koontitaulukko10[[#This Row],[Vastauspvm]]</f>
        <v/>
      </c>
      <c r="O65" s="73"/>
    </row>
    <row r="66" spans="1:15" x14ac:dyDescent="0.35">
      <c r="A66" t="str">
        <f>Koontitaulukko10[[#This Row],[Kuuluuko kriteeri kyseisen laitoksen vastattavaksi]]</f>
        <v>Ei kuulu</v>
      </c>
      <c r="B66" t="str">
        <f>Koontitaulukko10[[#This Row],[Extra-kysymys]]</f>
        <v/>
      </c>
      <c r="C66" t="str">
        <f>Koontitaulukko10[[#This Row],[Kriteerin kokoluokka]]</f>
        <v>1,2,3,4</v>
      </c>
      <c r="D66" t="str">
        <f>Koontitaulukko10[[#This Row],[Kriteerin toimiala]]</f>
        <v>A,B,C,D</v>
      </c>
      <c r="E66" t="str">
        <f>Koontitaulukko10[[#This Row],[Pääkategoria]]</f>
        <v>Kustannustehokas ja organisoitu</v>
      </c>
      <c r="F66" t="str">
        <f>Koontitaulukko10[[#This Row],[Alakategoria]]</f>
        <v>5. Laitoksella on riittävät henkilöstöresurssit ja ammattitaitoinen henkilökunta, ja varallaolo on suunniteltu</v>
      </c>
      <c r="G66" t="str">
        <f>Koontitaulukko10[[#This Row],[Arviointikriteeri]]</f>
        <v>5.3 Henkilökunta pystyy huolehtimaan kaikista operatiiviseen toimintaan liittyvistä kriittisistä toiminnoista itsenäisesti. TAI Vesihuoltolaitoksella on palvelusopimukset kriittisten toimintojen osalta.</v>
      </c>
      <c r="H66" t="str">
        <f>Koontitaulukko10[[#This Row],[Huoltovarmuus]]</f>
        <v>Kyllä</v>
      </c>
      <c r="I66" t="str">
        <f>Koontitaulukko10[[#This Row],[Vastaus ]]</f>
        <v/>
      </c>
      <c r="J66">
        <f>Koontitaulukko10[[#This Row],[Vastaajan kokoluokka]]</f>
        <v>0</v>
      </c>
      <c r="K66" t="str">
        <f>Koontitaulukko10[[#This Row],[Vastaajan toimiala]]</f>
        <v/>
      </c>
      <c r="L66" t="str">
        <f>Koontitaulukko10[[#This Row],[Kunta]]</f>
        <v/>
      </c>
      <c r="M66" t="str">
        <f>Koontitaulukko10[[#This Row],[Vesilaitoksen nimi]]</f>
        <v/>
      </c>
      <c r="N66" s="73" t="str">
        <f>Koontitaulukko10[[#This Row],[Vastauspvm]]</f>
        <v/>
      </c>
      <c r="O66" s="73"/>
    </row>
    <row r="67" spans="1:15" x14ac:dyDescent="0.35">
      <c r="A67" t="str">
        <f>Koontitaulukko10[[#This Row],[Kuuluuko kriteeri kyseisen laitoksen vastattavaksi]]</f>
        <v>Ei kuulu</v>
      </c>
      <c r="B67" t="str">
        <f>Koontitaulukko10[[#This Row],[Extra-kysymys]]</f>
        <v/>
      </c>
      <c r="C67" t="str">
        <f>Koontitaulukko10[[#This Row],[Kriteerin kokoluokka]]</f>
        <v>1,2,3,4</v>
      </c>
      <c r="D67" t="str">
        <f>Koontitaulukko10[[#This Row],[Kriteerin toimiala]]</f>
        <v>A,B,C,D</v>
      </c>
      <c r="E67" t="str">
        <f>Koontitaulukko10[[#This Row],[Pääkategoria]]</f>
        <v>Kustannustehokas ja organisoitu</v>
      </c>
      <c r="F67" t="str">
        <f>Koontitaulukko10[[#This Row],[Alakategoria]]</f>
        <v>5. Laitoksella on riittävät henkilöstöresurssit ja ammattitaitoinen henkilökunta, ja varallaolo on suunniteltu</v>
      </c>
      <c r="G67" t="str">
        <f>Koontitaulukko10[[#This Row],[Arviointikriteeri]]</f>
        <v xml:space="preserve">5.4 Henkilöstölle on laadittu laitoksen omat osaamistasovaatimukset. Osaamistasomäärityksessä voidaan hyödyntää esim. Vesihuoltolaitosten osaamiskriteerit -hankkeen osaamiskartoitustyökalua. </v>
      </c>
      <c r="H67" t="str">
        <f>Koontitaulukko10[[#This Row],[Huoltovarmuus]]</f>
        <v>Kyllä</v>
      </c>
      <c r="I67" t="str">
        <f>Koontitaulukko10[[#This Row],[Vastaus ]]</f>
        <v/>
      </c>
      <c r="J67">
        <f>Koontitaulukko10[[#This Row],[Vastaajan kokoluokka]]</f>
        <v>0</v>
      </c>
      <c r="K67" t="str">
        <f>Koontitaulukko10[[#This Row],[Vastaajan toimiala]]</f>
        <v/>
      </c>
      <c r="L67" t="str">
        <f>Koontitaulukko10[[#This Row],[Kunta]]</f>
        <v/>
      </c>
      <c r="M67" t="str">
        <f>Koontitaulukko10[[#This Row],[Vesilaitoksen nimi]]</f>
        <v/>
      </c>
      <c r="N67" s="73" t="str">
        <f>Koontitaulukko10[[#This Row],[Vastauspvm]]</f>
        <v/>
      </c>
      <c r="O67" s="73"/>
    </row>
    <row r="68" spans="1:15" x14ac:dyDescent="0.35">
      <c r="A68" t="str">
        <f>Koontitaulukko10[[#This Row],[Kuuluuko kriteeri kyseisen laitoksen vastattavaksi]]</f>
        <v>Ei kuulu</v>
      </c>
      <c r="B68" t="str">
        <f>Koontitaulukko10[[#This Row],[Extra-kysymys]]</f>
        <v/>
      </c>
      <c r="C68" t="str">
        <f>Koontitaulukko10[[#This Row],[Kriteerin kokoluokka]]</f>
        <v>1,2,3,4</v>
      </c>
      <c r="D68" t="str">
        <f>Koontitaulukko10[[#This Row],[Kriteerin toimiala]]</f>
        <v>A,B,C,D</v>
      </c>
      <c r="E68" t="str">
        <f>Koontitaulukko10[[#This Row],[Pääkategoria]]</f>
        <v>Kustannustehokas ja organisoitu</v>
      </c>
      <c r="F68" t="str">
        <f>Koontitaulukko10[[#This Row],[Alakategoria]]</f>
        <v>5. Laitoksella on riittävät henkilöstöresurssit ja ammattitaitoinen henkilökunta, ja varallaolo on suunniteltu</v>
      </c>
      <c r="G68" t="str">
        <f>Koontitaulukko10[[#This Row],[Arviointikriteeri]]</f>
        <v>5.5 Avainhenkilöt eli perustoiminnon ylläpitämisessä kriittiset henkilöt on tunnistettu ja nimetty. Avainhenkilöille on nimetty varahenkilöt, jotka on perehdytetty työnkuvaan.</v>
      </c>
      <c r="H68" t="str">
        <f>Koontitaulukko10[[#This Row],[Huoltovarmuus]]</f>
        <v>Kyllä</v>
      </c>
      <c r="I68" t="str">
        <f>Koontitaulukko10[[#This Row],[Vastaus ]]</f>
        <v/>
      </c>
      <c r="J68">
        <f>Koontitaulukko10[[#This Row],[Vastaajan kokoluokka]]</f>
        <v>0</v>
      </c>
      <c r="K68" t="str">
        <f>Koontitaulukko10[[#This Row],[Vastaajan toimiala]]</f>
        <v/>
      </c>
      <c r="L68" t="str">
        <f>Koontitaulukko10[[#This Row],[Kunta]]</f>
        <v/>
      </c>
      <c r="M68" t="str">
        <f>Koontitaulukko10[[#This Row],[Vesilaitoksen nimi]]</f>
        <v/>
      </c>
      <c r="N68" s="73" t="str">
        <f>Koontitaulukko10[[#This Row],[Vastauspvm]]</f>
        <v/>
      </c>
      <c r="O68" s="73"/>
    </row>
    <row r="69" spans="1:15" x14ac:dyDescent="0.35">
      <c r="A69" t="str">
        <f>Koontitaulukko10[[#This Row],[Kuuluuko kriteeri kyseisen laitoksen vastattavaksi]]</f>
        <v>Ei kuulu</v>
      </c>
      <c r="B69" t="str">
        <f>Koontitaulukko10[[#This Row],[Extra-kysymys]]</f>
        <v/>
      </c>
      <c r="C69">
        <f>Koontitaulukko10[[#This Row],[Kriteerin kokoluokka]]</f>
        <v>4</v>
      </c>
      <c r="D69" t="str">
        <f>Koontitaulukko10[[#This Row],[Kriteerin toimiala]]</f>
        <v>A,B,C,D</v>
      </c>
      <c r="E69" t="str">
        <f>Koontitaulukko10[[#This Row],[Pääkategoria]]</f>
        <v>Kustannustehokas ja organisoitu</v>
      </c>
      <c r="F69" t="str">
        <f>Koontitaulukko10[[#This Row],[Alakategoria]]</f>
        <v>5. Laitoksella on riittävät henkilöstöresurssit ja ammattitaitoinen henkilökunta, ja varallaolo on suunniteltu</v>
      </c>
      <c r="G69" t="str">
        <f>Koontitaulukko10[[#This Row],[Arviointikriteeri]]</f>
        <v>5.6 Vesihuoltolaitoksella on henkilökuntaa riittävästi, jotta omat tai ostopalvelut pystytään hoitamaan ennalta laaditun aikataulun mukaisesti (materiaalit, suunnittelu, rakentaminen, kunnossapito) ja hankkeita ei tarvitse viivyttää henkilöresurssien takia.</v>
      </c>
      <c r="H69" t="str">
        <f>Koontitaulukko10[[#This Row],[Huoltovarmuus]]</f>
        <v>Ei</v>
      </c>
      <c r="I69" t="str">
        <f>Koontitaulukko10[[#This Row],[Vastaus ]]</f>
        <v/>
      </c>
      <c r="J69">
        <f>Koontitaulukko10[[#This Row],[Vastaajan kokoluokka]]</f>
        <v>0</v>
      </c>
      <c r="K69" t="str">
        <f>Koontitaulukko10[[#This Row],[Vastaajan toimiala]]</f>
        <v/>
      </c>
      <c r="L69" t="str">
        <f>Koontitaulukko10[[#This Row],[Kunta]]</f>
        <v/>
      </c>
      <c r="M69" t="str">
        <f>Koontitaulukko10[[#This Row],[Vesilaitoksen nimi]]</f>
        <v/>
      </c>
      <c r="N69" s="73" t="str">
        <f>Koontitaulukko10[[#This Row],[Vastauspvm]]</f>
        <v/>
      </c>
      <c r="O69" s="73"/>
    </row>
    <row r="70" spans="1:15" x14ac:dyDescent="0.35">
      <c r="A70" t="str">
        <f>Koontitaulukko10[[#This Row],[Kuuluuko kriteeri kyseisen laitoksen vastattavaksi]]</f>
        <v>Ei kuulu</v>
      </c>
      <c r="B70" t="str">
        <f>Koontitaulukko10[[#This Row],[Extra-kysymys]]</f>
        <v/>
      </c>
      <c r="C70" t="str">
        <f>Koontitaulukko10[[#This Row],[Kriteerin kokoluokka]]</f>
        <v xml:space="preserve">1,2,3,4 </v>
      </c>
      <c r="D70" t="str">
        <f>Koontitaulukko10[[#This Row],[Kriteerin toimiala]]</f>
        <v>A,B,C,D</v>
      </c>
      <c r="E70" t="str">
        <f>Koontitaulukko10[[#This Row],[Pääkategoria]]</f>
        <v>Kustannustehokas ja organisoitu</v>
      </c>
      <c r="F70" t="str">
        <f>Koontitaulukko10[[#This Row],[Alakategoria]]</f>
        <v>_Otsikkorivi</v>
      </c>
      <c r="G70" t="str">
        <f>Koontitaulukko10[[#This Row],[Arviointikriteeri]]</f>
        <v>6. Omaisuuden hallinta, operointi ja kunnossapito on suunnitelmallista</v>
      </c>
      <c r="H70" t="str">
        <f>Koontitaulukko10[[#This Row],[Huoltovarmuus]]</f>
        <v>Ei</v>
      </c>
      <c r="I70" t="str">
        <f>Koontitaulukko10[[#This Row],[Vastaus ]]</f>
        <v/>
      </c>
      <c r="J70">
        <f>Koontitaulukko10[[#This Row],[Vastaajan kokoluokka]]</f>
        <v>0</v>
      </c>
      <c r="K70" t="str">
        <f>Koontitaulukko10[[#This Row],[Vastaajan toimiala]]</f>
        <v/>
      </c>
      <c r="L70" t="str">
        <f>Koontitaulukko10[[#This Row],[Kunta]]</f>
        <v/>
      </c>
      <c r="M70" t="str">
        <f>Koontitaulukko10[[#This Row],[Vesilaitoksen nimi]]</f>
        <v/>
      </c>
      <c r="N70" s="73" t="str">
        <f>Koontitaulukko10[[#This Row],[Vastauspvm]]</f>
        <v/>
      </c>
      <c r="O70" s="73"/>
    </row>
    <row r="71" spans="1:15" hidden="1" x14ac:dyDescent="0.35">
      <c r="A71" t="str">
        <f>Koontitaulukko10[[#This Row],[Kuuluuko kriteeri kyseisen laitoksen vastattavaksi]]</f>
        <v>Ei kuulu</v>
      </c>
      <c r="B71" t="str">
        <f>Koontitaulukko10[[#This Row],[Extra-kysymys]]</f>
        <v/>
      </c>
      <c r="C71">
        <f>Koontitaulukko10[[#This Row],[Kriteerin kokoluokka]]</f>
        <v>1.2</v>
      </c>
      <c r="D71" t="str">
        <f>Koontitaulukko10[[#This Row],[Kriteerin toimiala]]</f>
        <v>A,B,C,D</v>
      </c>
      <c r="E71" t="str">
        <f>Koontitaulukko10[[#This Row],[Pääkategoria]]</f>
        <v>Kustannustehokas ja organisoitu</v>
      </c>
      <c r="F71" t="str">
        <f>Koontitaulukko10[[#This Row],[Alakategoria]]</f>
        <v>6. Omaisuuden hallinta, operointi ja kunnossapito on suunnitelmallista</v>
      </c>
      <c r="G71" t="str">
        <f>Koontitaulukko10[[#This Row],[Arviointikriteeri]]</f>
        <v>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v>
      </c>
      <c r="H71" t="str">
        <f>Koontitaulukko10[[#This Row],[Huoltovarmuus]]</f>
        <v>Ei</v>
      </c>
      <c r="I71" t="str">
        <f>Koontitaulukko10[[#This Row],[Vastaus ]]</f>
        <v/>
      </c>
      <c r="J71">
        <f>Koontitaulukko10[[#This Row],[Vastaajan kokoluokka]]</f>
        <v>0</v>
      </c>
      <c r="K71" t="str">
        <f>Koontitaulukko10[[#This Row],[Vastaajan toimiala]]</f>
        <v/>
      </c>
      <c r="L71" t="str">
        <f>Koontitaulukko10[[#This Row],[Kunta]]</f>
        <v/>
      </c>
      <c r="M71" t="str">
        <f>Koontitaulukko10[[#This Row],[Vesilaitoksen nimi]]</f>
        <v/>
      </c>
      <c r="N71" s="73" t="str">
        <f>Koontitaulukko10[[#This Row],[Vastauspvm]]</f>
        <v/>
      </c>
      <c r="O71" s="73"/>
    </row>
    <row r="72" spans="1:15" x14ac:dyDescent="0.35">
      <c r="A72" t="str">
        <f>Koontitaulukko10[[#This Row],[Kuuluuko kriteeri kyseisen laitoksen vastattavaksi]]</f>
        <v>Ei kuulu</v>
      </c>
      <c r="B72" t="str">
        <f>Koontitaulukko10[[#This Row],[Extra-kysymys]]</f>
        <v/>
      </c>
      <c r="C72">
        <f>Koontitaulukko10[[#This Row],[Kriteerin kokoluokka]]</f>
        <v>3.4</v>
      </c>
      <c r="D72" t="str">
        <f>Koontitaulukko10[[#This Row],[Kriteerin toimiala]]</f>
        <v>A,B,C,D</v>
      </c>
      <c r="E72" t="str">
        <f>Koontitaulukko10[[#This Row],[Pääkategoria]]</f>
        <v>Kustannustehokas ja organisoitu</v>
      </c>
      <c r="F72" t="str">
        <f>Koontitaulukko10[[#This Row],[Alakategoria]]</f>
        <v>6. Omaisuuden hallinta, operointi ja kunnossapito on suunnitelmallista</v>
      </c>
      <c r="G72" t="str">
        <f>Koontitaulukko10[[#This Row],[Arviointikriteeri]]</f>
        <v>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v>
      </c>
      <c r="H72" t="str">
        <f>Koontitaulukko10[[#This Row],[Huoltovarmuus]]</f>
        <v>Ei</v>
      </c>
      <c r="I72" t="str">
        <f>Koontitaulukko10[[#This Row],[Vastaus ]]</f>
        <v/>
      </c>
      <c r="J72">
        <f>Koontitaulukko10[[#This Row],[Vastaajan kokoluokka]]</f>
        <v>0</v>
      </c>
      <c r="K72" t="str">
        <f>Koontitaulukko10[[#This Row],[Vastaajan toimiala]]</f>
        <v/>
      </c>
      <c r="L72" t="str">
        <f>Koontitaulukko10[[#This Row],[Kunta]]</f>
        <v/>
      </c>
      <c r="M72" t="str">
        <f>Koontitaulukko10[[#This Row],[Vesilaitoksen nimi]]</f>
        <v/>
      </c>
      <c r="N72" s="73" t="str">
        <f>Koontitaulukko10[[#This Row],[Vastauspvm]]</f>
        <v/>
      </c>
      <c r="O72" s="73"/>
    </row>
    <row r="73" spans="1:15" x14ac:dyDescent="0.35">
      <c r="A73" t="str">
        <f>Koontitaulukko10[[#This Row],[Kuuluuko kriteeri kyseisen laitoksen vastattavaksi]]</f>
        <v>Ei kuulu</v>
      </c>
      <c r="B73" t="str">
        <f>Koontitaulukko10[[#This Row],[Extra-kysymys]]</f>
        <v/>
      </c>
      <c r="C73">
        <f>Koontitaulukko10[[#This Row],[Kriteerin kokoluokka]]</f>
        <v>1.2</v>
      </c>
      <c r="D73" t="str">
        <f>Koontitaulukko10[[#This Row],[Kriteerin toimiala]]</f>
        <v>A,B,C,D</v>
      </c>
      <c r="E73" t="str">
        <f>Koontitaulukko10[[#This Row],[Pääkategoria]]</f>
        <v>Kustannustehokas ja organisoitu</v>
      </c>
      <c r="F73" t="str">
        <f>Koontitaulukko10[[#This Row],[Alakategoria]]</f>
        <v>6. Omaisuuden hallinta, operointi ja kunnossapito on suunnitelmallista</v>
      </c>
      <c r="G73" t="str">
        <f>Koontitaulukko10[[#This Row],[Arviointikriteeri]]</f>
        <v>6.2 Vesihuoltolaitoksen laitosten ja verkostojen automaatiojärjestelmistä kerätään luotettavaa tietoa sähköiseen muotoon.</v>
      </c>
      <c r="H73" t="str">
        <f>Koontitaulukko10[[#This Row],[Huoltovarmuus]]</f>
        <v>Ei</v>
      </c>
      <c r="I73" t="str">
        <f>Koontitaulukko10[[#This Row],[Vastaus ]]</f>
        <v/>
      </c>
      <c r="J73">
        <f>Koontitaulukko10[[#This Row],[Vastaajan kokoluokka]]</f>
        <v>0</v>
      </c>
      <c r="K73" t="str">
        <f>Koontitaulukko10[[#This Row],[Vastaajan toimiala]]</f>
        <v/>
      </c>
      <c r="L73" t="str">
        <f>Koontitaulukko10[[#This Row],[Kunta]]</f>
        <v/>
      </c>
      <c r="M73" t="str">
        <f>Koontitaulukko10[[#This Row],[Vesilaitoksen nimi]]</f>
        <v/>
      </c>
      <c r="N73" s="73" t="str">
        <f>Koontitaulukko10[[#This Row],[Vastauspvm]]</f>
        <v/>
      </c>
      <c r="O73" s="73"/>
    </row>
    <row r="74" spans="1:15" x14ac:dyDescent="0.35">
      <c r="A74" t="str">
        <f>Koontitaulukko10[[#This Row],[Kuuluuko kriteeri kyseisen laitoksen vastattavaksi]]</f>
        <v>Ei kuulu</v>
      </c>
      <c r="B74" t="str">
        <f>Koontitaulukko10[[#This Row],[Extra-kysymys]]</f>
        <v/>
      </c>
      <c r="C74">
        <f>Koontitaulukko10[[#This Row],[Kriteerin kokoluokka]]</f>
        <v>3.4</v>
      </c>
      <c r="D74" t="str">
        <f>Koontitaulukko10[[#This Row],[Kriteerin toimiala]]</f>
        <v>A,B,C,D</v>
      </c>
      <c r="E74" t="str">
        <f>Koontitaulukko10[[#This Row],[Pääkategoria]]</f>
        <v>Kustannustehokas ja organisoitu</v>
      </c>
      <c r="F74" t="str">
        <f>Koontitaulukko10[[#This Row],[Alakategoria]]</f>
        <v>6. Omaisuuden hallinta, operointi ja kunnossapito on suunnitelmallista</v>
      </c>
      <c r="G74" t="str">
        <f>Koontitaulukko10[[#This Row],[Arviointikriteeri]]</f>
        <v>6.2 Vesihuoltolaitoksen laitoksen ja verkostojen automaatiojärjestelmistä saadaan ja kerätään jatkuvaa, ajantasaista ja luotettavaa tietoa sähköiseen muotoon.</v>
      </c>
      <c r="H74" t="str">
        <f>Koontitaulukko10[[#This Row],[Huoltovarmuus]]</f>
        <v>Ei</v>
      </c>
      <c r="I74" t="str">
        <f>Koontitaulukko10[[#This Row],[Vastaus ]]</f>
        <v/>
      </c>
      <c r="J74">
        <f>Koontitaulukko10[[#This Row],[Vastaajan kokoluokka]]</f>
        <v>0</v>
      </c>
      <c r="K74" t="str">
        <f>Koontitaulukko10[[#This Row],[Vastaajan toimiala]]</f>
        <v/>
      </c>
      <c r="L74" t="str">
        <f>Koontitaulukko10[[#This Row],[Kunta]]</f>
        <v/>
      </c>
      <c r="M74" t="str">
        <f>Koontitaulukko10[[#This Row],[Vesilaitoksen nimi]]</f>
        <v/>
      </c>
      <c r="N74" s="73" t="str">
        <f>Koontitaulukko10[[#This Row],[Vastauspvm]]</f>
        <v/>
      </c>
      <c r="O74" s="73"/>
    </row>
    <row r="75" spans="1:15" x14ac:dyDescent="0.35">
      <c r="A75" t="str">
        <f>Koontitaulukko10[[#This Row],[Kuuluuko kriteeri kyseisen laitoksen vastattavaksi]]</f>
        <v>Ei kuulu</v>
      </c>
      <c r="B75" t="str">
        <f>Koontitaulukko10[[#This Row],[Extra-kysymys]]</f>
        <v/>
      </c>
      <c r="C75" t="str">
        <f>Koontitaulukko10[[#This Row],[Kriteerin kokoluokka]]</f>
        <v>1,2,3,4</v>
      </c>
      <c r="D75" t="str">
        <f>Koontitaulukko10[[#This Row],[Kriteerin toimiala]]</f>
        <v>A,B,C,D</v>
      </c>
      <c r="E75" t="str">
        <f>Koontitaulukko10[[#This Row],[Pääkategoria]]</f>
        <v>Kustannustehokas ja organisoitu</v>
      </c>
      <c r="F75" t="str">
        <f>Koontitaulukko10[[#This Row],[Alakategoria]]</f>
        <v>6. Omaisuuden hallinta, operointi ja kunnossapito on suunnitelmallista</v>
      </c>
      <c r="G75" t="str">
        <f>Koontitaulukko10[[#This Row],[Arviointikriteeri]]</f>
        <v>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v>
      </c>
      <c r="H75" t="str">
        <f>Koontitaulukko10[[#This Row],[Huoltovarmuus]]</f>
        <v>Kyllä</v>
      </c>
      <c r="I75" t="str">
        <f>Koontitaulukko10[[#This Row],[Vastaus ]]</f>
        <v/>
      </c>
      <c r="J75">
        <f>Koontitaulukko10[[#This Row],[Vastaajan kokoluokka]]</f>
        <v>0</v>
      </c>
      <c r="K75" t="str">
        <f>Koontitaulukko10[[#This Row],[Vastaajan toimiala]]</f>
        <v/>
      </c>
      <c r="L75" t="str">
        <f>Koontitaulukko10[[#This Row],[Kunta]]</f>
        <v/>
      </c>
      <c r="M75" t="str">
        <f>Koontitaulukko10[[#This Row],[Vesilaitoksen nimi]]</f>
        <v/>
      </c>
      <c r="N75" s="73" t="str">
        <f>Koontitaulukko10[[#This Row],[Vastauspvm]]</f>
        <v/>
      </c>
      <c r="O75" s="73"/>
    </row>
    <row r="76" spans="1:15" x14ac:dyDescent="0.35">
      <c r="A76" t="str">
        <f>Koontitaulukko10[[#This Row],[Kuuluuko kriteeri kyseisen laitoksen vastattavaksi]]</f>
        <v>Ei kuulu</v>
      </c>
      <c r="B76" t="str">
        <f>Koontitaulukko10[[#This Row],[Extra-kysymys]]</f>
        <v/>
      </c>
      <c r="C76" t="str">
        <f>Koontitaulukko10[[#This Row],[Kriteerin kokoluokka]]</f>
        <v>2,3,4</v>
      </c>
      <c r="D76" t="str">
        <f>Koontitaulukko10[[#This Row],[Kriteerin toimiala]]</f>
        <v>A,B,C,D</v>
      </c>
      <c r="E76" t="str">
        <f>Koontitaulukko10[[#This Row],[Pääkategoria]]</f>
        <v>Kustannustehokas ja organisoitu</v>
      </c>
      <c r="F76" t="str">
        <f>Koontitaulukko10[[#This Row],[Alakategoria]]</f>
        <v>6. Omaisuuden hallinta, operointi ja kunnossapito on suunnitelmallista</v>
      </c>
      <c r="G76" t="str">
        <f>Koontitaulukko10[[#This Row],[Arviointikriteeri]]</f>
        <v>6.4 Vesihuoltolaitos on määrittänyt toiminnalleen KPI-mittarit (key performance indicator), joita seurataan.</v>
      </c>
      <c r="H76" t="str">
        <f>Koontitaulukko10[[#This Row],[Huoltovarmuus]]</f>
        <v>Ei</v>
      </c>
      <c r="I76" t="str">
        <f>Koontitaulukko10[[#This Row],[Vastaus ]]</f>
        <v/>
      </c>
      <c r="J76">
        <f>Koontitaulukko10[[#This Row],[Vastaajan kokoluokka]]</f>
        <v>0</v>
      </c>
      <c r="K76" t="str">
        <f>Koontitaulukko10[[#This Row],[Vastaajan toimiala]]</f>
        <v/>
      </c>
      <c r="L76" t="str">
        <f>Koontitaulukko10[[#This Row],[Kunta]]</f>
        <v/>
      </c>
      <c r="M76" t="str">
        <f>Koontitaulukko10[[#This Row],[Vesilaitoksen nimi]]</f>
        <v/>
      </c>
      <c r="N76" s="73" t="str">
        <f>Koontitaulukko10[[#This Row],[Vastauspvm]]</f>
        <v/>
      </c>
      <c r="O76" s="73"/>
    </row>
    <row r="77" spans="1:15" x14ac:dyDescent="0.35">
      <c r="A77" t="str">
        <f>Koontitaulukko10[[#This Row],[Kuuluuko kriteeri kyseisen laitoksen vastattavaksi]]</f>
        <v>Ei kuulu</v>
      </c>
      <c r="B77" t="str">
        <f>Koontitaulukko10[[#This Row],[Extra-kysymys]]</f>
        <v/>
      </c>
      <c r="C77" t="str">
        <f>Koontitaulukko10[[#This Row],[Kriteerin kokoluokka]]</f>
        <v>2,3,4</v>
      </c>
      <c r="D77" t="str">
        <f>Koontitaulukko10[[#This Row],[Kriteerin toimiala]]</f>
        <v>A,B,C,D</v>
      </c>
      <c r="E77" t="str">
        <f>Koontitaulukko10[[#This Row],[Pääkategoria]]</f>
        <v>Kustannustehokas ja organisoitu</v>
      </c>
      <c r="F77" t="str">
        <f>Koontitaulukko10[[#This Row],[Alakategoria]]</f>
        <v>6. Omaisuuden hallinta, operointi ja kunnossapito on suunnitelmallista</v>
      </c>
      <c r="G77" t="str">
        <f>Koontitaulukko10[[#This Row],[Arviointikriteeri]]</f>
        <v>6.5 Vesihuoltolaitoksen laitoksista ja verkostoista kerätään järjestelmällisesti tietoa suunnittelun, rakentamisen, saneerauksen ja kunnossapidon osalta.</v>
      </c>
      <c r="H77" t="str">
        <f>Koontitaulukko10[[#This Row],[Huoltovarmuus]]</f>
        <v>Ei</v>
      </c>
      <c r="I77" t="str">
        <f>Koontitaulukko10[[#This Row],[Vastaus ]]</f>
        <v/>
      </c>
      <c r="J77">
        <f>Koontitaulukko10[[#This Row],[Vastaajan kokoluokka]]</f>
        <v>0</v>
      </c>
      <c r="K77" t="str">
        <f>Koontitaulukko10[[#This Row],[Vastaajan toimiala]]</f>
        <v/>
      </c>
      <c r="L77" t="str">
        <f>Koontitaulukko10[[#This Row],[Kunta]]</f>
        <v/>
      </c>
      <c r="M77" t="str">
        <f>Koontitaulukko10[[#This Row],[Vesilaitoksen nimi]]</f>
        <v/>
      </c>
      <c r="N77" s="73" t="str">
        <f>Koontitaulukko10[[#This Row],[Vastauspvm]]</f>
        <v/>
      </c>
      <c r="O77" s="73"/>
    </row>
    <row r="78" spans="1:15" x14ac:dyDescent="0.35">
      <c r="A78" t="str">
        <f>Koontitaulukko10[[#This Row],[Kuuluuko kriteeri kyseisen laitoksen vastattavaksi]]</f>
        <v>Ei kuulu</v>
      </c>
      <c r="B78" t="str">
        <f>Koontitaulukko10[[#This Row],[Extra-kysymys]]</f>
        <v/>
      </c>
      <c r="C78">
        <f>Koontitaulukko10[[#This Row],[Kriteerin kokoluokka]]</f>
        <v>3.4</v>
      </c>
      <c r="D78" t="str">
        <f>Koontitaulukko10[[#This Row],[Kriteerin toimiala]]</f>
        <v>A,B,C,D</v>
      </c>
      <c r="E78" t="str">
        <f>Koontitaulukko10[[#This Row],[Pääkategoria]]</f>
        <v>Kustannustehokas ja organisoitu</v>
      </c>
      <c r="F78" t="str">
        <f>Koontitaulukko10[[#This Row],[Alakategoria]]</f>
        <v>6. Omaisuuden hallinta, operointi ja kunnossapito on suunnitelmallista</v>
      </c>
      <c r="G78" t="str">
        <f>Koontitaulukko10[[#This Row],[Arviointikriteeri]]</f>
        <v>6.6 Vesihuoltolaitos käyttää sähköistä kunnossapitojärjestelmää.</v>
      </c>
      <c r="H78" t="str">
        <f>Koontitaulukko10[[#This Row],[Huoltovarmuus]]</f>
        <v>Ei</v>
      </c>
      <c r="I78" t="str">
        <f>Koontitaulukko10[[#This Row],[Vastaus ]]</f>
        <v/>
      </c>
      <c r="J78">
        <f>Koontitaulukko10[[#This Row],[Vastaajan kokoluokka]]</f>
        <v>0</v>
      </c>
      <c r="K78" t="str">
        <f>Koontitaulukko10[[#This Row],[Vastaajan toimiala]]</f>
        <v/>
      </c>
      <c r="L78" t="str">
        <f>Koontitaulukko10[[#This Row],[Kunta]]</f>
        <v/>
      </c>
      <c r="M78" t="str">
        <f>Koontitaulukko10[[#This Row],[Vesilaitoksen nimi]]</f>
        <v/>
      </c>
      <c r="N78" s="73" t="str">
        <f>Koontitaulukko10[[#This Row],[Vastauspvm]]</f>
        <v/>
      </c>
      <c r="O78" s="73"/>
    </row>
    <row r="79" spans="1:15" x14ac:dyDescent="0.35">
      <c r="A79" t="str">
        <f>Koontitaulukko10[[#This Row],[Kuuluuko kriteeri kyseisen laitoksen vastattavaksi]]</f>
        <v>Ei kuulu</v>
      </c>
      <c r="B79" t="str">
        <f>Koontitaulukko10[[#This Row],[Extra-kysymys]]</f>
        <v/>
      </c>
      <c r="C79">
        <f>Koontitaulukko10[[#This Row],[Kriteerin kokoluokka]]</f>
        <v>3.4</v>
      </c>
      <c r="D79" t="str">
        <f>Koontitaulukko10[[#This Row],[Kriteerin toimiala]]</f>
        <v>B</v>
      </c>
      <c r="E79" t="str">
        <f>Koontitaulukko10[[#This Row],[Pääkategoria]]</f>
        <v>Kustannustehokas ja organisoitu</v>
      </c>
      <c r="F79" t="str">
        <f>Koontitaulukko10[[#This Row],[Alakategoria]]</f>
        <v>6. Omaisuuden hallinta, operointi ja kunnossapito on suunnitelmallista</v>
      </c>
      <c r="G79" t="str">
        <f>Koontitaulukko10[[#This Row],[Arviointikriteeri]]</f>
        <v xml:space="preserve">6.7 Vesihuoltolaitoksen vedenjakeluverkoston vuotoja mitataan ja seurataan ja vuotavuusprosentti on määritelty verkostoalueittain. </v>
      </c>
      <c r="H79" t="str">
        <f>Koontitaulukko10[[#This Row],[Huoltovarmuus]]</f>
        <v>Ei</v>
      </c>
      <c r="I79" t="str">
        <f>Koontitaulukko10[[#This Row],[Vastaus ]]</f>
        <v/>
      </c>
      <c r="J79">
        <f>Koontitaulukko10[[#This Row],[Vastaajan kokoluokka]]</f>
        <v>0</v>
      </c>
      <c r="K79" t="str">
        <f>Koontitaulukko10[[#This Row],[Vastaajan toimiala]]</f>
        <v/>
      </c>
      <c r="L79" t="str">
        <f>Koontitaulukko10[[#This Row],[Kunta]]</f>
        <v/>
      </c>
      <c r="M79" t="str">
        <f>Koontitaulukko10[[#This Row],[Vesilaitoksen nimi]]</f>
        <v/>
      </c>
      <c r="N79" s="73" t="str">
        <f>Koontitaulukko10[[#This Row],[Vastauspvm]]</f>
        <v/>
      </c>
      <c r="O79" s="73"/>
    </row>
    <row r="80" spans="1:15" x14ac:dyDescent="0.35">
      <c r="A80" t="str">
        <f>Koontitaulukko10[[#This Row],[Kuuluuko kriteeri kyseisen laitoksen vastattavaksi]]</f>
        <v>Ei kuulu</v>
      </c>
      <c r="B80" t="str">
        <f>Koontitaulukko10[[#This Row],[Extra-kysymys]]</f>
        <v/>
      </c>
      <c r="C80">
        <f>Koontitaulukko10[[#This Row],[Kriteerin kokoluokka]]</f>
        <v>4</v>
      </c>
      <c r="D80" t="str">
        <f>Koontitaulukko10[[#This Row],[Kriteerin toimiala]]</f>
        <v>A,B,C,D</v>
      </c>
      <c r="E80" t="str">
        <f>Koontitaulukko10[[#This Row],[Pääkategoria]]</f>
        <v>Kustannustehokas ja organisoitu</v>
      </c>
      <c r="F80" t="str">
        <f>Koontitaulukko10[[#This Row],[Alakategoria]]</f>
        <v>6. Omaisuuden hallinta, operointi ja kunnossapito on suunnitelmallista</v>
      </c>
      <c r="G80" t="str">
        <f>Koontitaulukko10[[#This Row],[Arviointikriteeri]]</f>
        <v>6.8 Vesihuoltolaitoksella on pitkän aikavälin omaisuudenhallintasuunnitelma (20 v).</v>
      </c>
      <c r="H80" t="str">
        <f>Koontitaulukko10[[#This Row],[Huoltovarmuus]]</f>
        <v>Ei</v>
      </c>
      <c r="I80" t="str">
        <f>Koontitaulukko10[[#This Row],[Vastaus ]]</f>
        <v/>
      </c>
      <c r="J80">
        <f>Koontitaulukko10[[#This Row],[Vastaajan kokoluokka]]</f>
        <v>0</v>
      </c>
      <c r="K80" t="str">
        <f>Koontitaulukko10[[#This Row],[Vastaajan toimiala]]</f>
        <v/>
      </c>
      <c r="L80" t="str">
        <f>Koontitaulukko10[[#This Row],[Kunta]]</f>
        <v/>
      </c>
      <c r="M80" t="str">
        <f>Koontitaulukko10[[#This Row],[Vesilaitoksen nimi]]</f>
        <v/>
      </c>
      <c r="N80" s="73" t="str">
        <f>Koontitaulukko10[[#This Row],[Vastauspvm]]</f>
        <v/>
      </c>
      <c r="O80" s="73"/>
    </row>
    <row r="81" spans="1:15" x14ac:dyDescent="0.35">
      <c r="A81" t="str">
        <f>Koontitaulukko10[[#This Row],[Kuuluuko kriteeri kyseisen laitoksen vastattavaksi]]</f>
        <v>Ei kuulu</v>
      </c>
      <c r="B81" t="str">
        <f>Koontitaulukko10[[#This Row],[Extra-kysymys]]</f>
        <v/>
      </c>
      <c r="C81">
        <f>Koontitaulukko10[[#This Row],[Kriteerin kokoluokka]]</f>
        <v>5</v>
      </c>
      <c r="D81" t="str">
        <f>Koontitaulukko10[[#This Row],[Kriteerin toimiala]]</f>
        <v>A,B,C,D</v>
      </c>
      <c r="E81" t="str">
        <f>Koontitaulukko10[[#This Row],[Pääkategoria]]</f>
        <v>Kustannustehokas ja organisoitu</v>
      </c>
      <c r="F81" t="str">
        <f>Koontitaulukko10[[#This Row],[Alakategoria]]</f>
        <v>6. Omaisuuden hallinta, operointi ja kunnossapito on suunnitelmallista</v>
      </c>
      <c r="G81" t="str">
        <f>Koontitaulukko10[[#This Row],[Arviointikriteeri]]</f>
        <v>6.9 Vesihuoltolaitoksella on käytössä auditoitu omaisuudenhallinnan johtamisjärjestelmä (esim. ISO 55000).</v>
      </c>
      <c r="H81" t="str">
        <f>Koontitaulukko10[[#This Row],[Huoltovarmuus]]</f>
        <v>Ei</v>
      </c>
      <c r="I81" t="str">
        <f>Koontitaulukko10[[#This Row],[Vastaus ]]</f>
        <v/>
      </c>
      <c r="J81">
        <f>Koontitaulukko10[[#This Row],[Vastaajan kokoluokka]]</f>
        <v>0</v>
      </c>
      <c r="K81" t="str">
        <f>Koontitaulukko10[[#This Row],[Vastaajan toimiala]]</f>
        <v/>
      </c>
      <c r="L81" t="str">
        <f>Koontitaulukko10[[#This Row],[Kunta]]</f>
        <v/>
      </c>
      <c r="M81" t="str">
        <f>Koontitaulukko10[[#This Row],[Vesilaitoksen nimi]]</f>
        <v/>
      </c>
      <c r="N81" s="73" t="str">
        <f>Koontitaulukko10[[#This Row],[Vastauspvm]]</f>
        <v/>
      </c>
      <c r="O81" s="73"/>
    </row>
    <row r="82" spans="1:15" x14ac:dyDescent="0.35">
      <c r="A82" t="str">
        <f>Koontitaulukko10[[#This Row],[Kuuluuko kriteeri kyseisen laitoksen vastattavaksi]]</f>
        <v>Ei kuulu</v>
      </c>
      <c r="B82" t="str">
        <f>Koontitaulukko10[[#This Row],[Extra-kysymys]]</f>
        <v/>
      </c>
      <c r="C82">
        <f>Koontitaulukko10[[#This Row],[Kriteerin kokoluokka]]</f>
        <v>5</v>
      </c>
      <c r="D82" t="str">
        <f>Koontitaulukko10[[#This Row],[Kriteerin toimiala]]</f>
        <v>A,B,C,D</v>
      </c>
      <c r="E82" t="str">
        <f>Koontitaulukko10[[#This Row],[Pääkategoria]]</f>
        <v>Kustannustehokas ja organisoitu</v>
      </c>
      <c r="F82" t="str">
        <f>Koontitaulukko10[[#This Row],[Alakategoria]]</f>
        <v>6. Omaisuuden hallinta, operointi ja kunnossapito on suunnitelmallista</v>
      </c>
      <c r="G82" t="str">
        <f>Koontitaulukko10[[#This Row],[Arviointikriteeri]]</f>
        <v>6.10 Vesihuoltolaitoksen laitosten ja verkoston automaatiojärjestelmistä saadaan jatkuvaa, ajantasaista ja virheetöntä tietoa räätälöidysti raportoituna organisaation eri tasoille. Tietoa hyödynnetään päätöksenteossa.</v>
      </c>
      <c r="H82" t="str">
        <f>Koontitaulukko10[[#This Row],[Huoltovarmuus]]</f>
        <v>Ei</v>
      </c>
      <c r="I82" t="str">
        <f>Koontitaulukko10[[#This Row],[Vastaus ]]</f>
        <v/>
      </c>
      <c r="J82">
        <f>Koontitaulukko10[[#This Row],[Vastaajan kokoluokka]]</f>
        <v>0</v>
      </c>
      <c r="K82" t="str">
        <f>Koontitaulukko10[[#This Row],[Vastaajan toimiala]]</f>
        <v/>
      </c>
      <c r="L82" t="str">
        <f>Koontitaulukko10[[#This Row],[Kunta]]</f>
        <v/>
      </c>
      <c r="M82" t="str">
        <f>Koontitaulukko10[[#This Row],[Vesilaitoksen nimi]]</f>
        <v/>
      </c>
      <c r="N82" s="73" t="str">
        <f>Koontitaulukko10[[#This Row],[Vastauspvm]]</f>
        <v/>
      </c>
      <c r="O82" s="73"/>
    </row>
    <row r="83" spans="1:15" x14ac:dyDescent="0.35">
      <c r="A83" t="str">
        <f>Koontitaulukko10[[#This Row],[Kuuluuko kriteeri kyseisen laitoksen vastattavaksi]]</f>
        <v>Ei kuulu</v>
      </c>
      <c r="B83" t="str">
        <f>Koontitaulukko10[[#This Row],[Extra-kysymys]]</f>
        <v/>
      </c>
      <c r="C83" t="str">
        <f>Koontitaulukko10[[#This Row],[Kriteerin kokoluokka]]</f>
        <v xml:space="preserve">1,2,3,4 </v>
      </c>
      <c r="D83" t="str">
        <f>Koontitaulukko10[[#This Row],[Kriteerin toimiala]]</f>
        <v>A,B,C,D</v>
      </c>
      <c r="E83" t="str">
        <f>Koontitaulukko10[[#This Row],[Pääkategoria]]</f>
        <v>Kustannustehokas ja organisoitu</v>
      </c>
      <c r="F83" t="str">
        <f>Koontitaulukko10[[#This Row],[Alakategoria]]</f>
        <v>_Otsikkorivi</v>
      </c>
      <c r="G83" t="str">
        <f>Koontitaulukko10[[#This Row],[Arviointikriteeri]]</f>
        <v>7. Johtaminen on suunniteltua ja toiminta on kannattavaa</v>
      </c>
      <c r="H83" t="str">
        <f>Koontitaulukko10[[#This Row],[Huoltovarmuus]]</f>
        <v>Ei</v>
      </c>
      <c r="I83" t="str">
        <f>Koontitaulukko10[[#This Row],[Vastaus ]]</f>
        <v/>
      </c>
      <c r="J83">
        <f>Koontitaulukko10[[#This Row],[Vastaajan kokoluokka]]</f>
        <v>0</v>
      </c>
      <c r="K83" t="str">
        <f>Koontitaulukko10[[#This Row],[Vastaajan toimiala]]</f>
        <v/>
      </c>
      <c r="L83" t="str">
        <f>Koontitaulukko10[[#This Row],[Kunta]]</f>
        <v/>
      </c>
      <c r="M83" t="str">
        <f>Koontitaulukko10[[#This Row],[Vesilaitoksen nimi]]</f>
        <v/>
      </c>
      <c r="N83" s="73" t="str">
        <f>Koontitaulukko10[[#This Row],[Vastauspvm]]</f>
        <v/>
      </c>
      <c r="O83" s="73"/>
    </row>
    <row r="84" spans="1:15" hidden="1" x14ac:dyDescent="0.35">
      <c r="A84" t="str">
        <f>Koontitaulukko10[[#This Row],[Kuuluuko kriteeri kyseisen laitoksen vastattavaksi]]</f>
        <v>Ei kuulu</v>
      </c>
      <c r="B84" t="str">
        <f>Koontitaulukko10[[#This Row],[Extra-kysymys]]</f>
        <v/>
      </c>
      <c r="C84" t="str">
        <f>Koontitaulukko10[[#This Row],[Kriteerin kokoluokka]]</f>
        <v>1,2,3,4</v>
      </c>
      <c r="D84" t="str">
        <f>Koontitaulukko10[[#This Row],[Kriteerin toimiala]]</f>
        <v>A,B,C,D</v>
      </c>
      <c r="E84" t="str">
        <f>Koontitaulukko10[[#This Row],[Pääkategoria]]</f>
        <v>Kustannustehokas ja organisoitu</v>
      </c>
      <c r="F84" t="str">
        <f>Koontitaulukko10[[#This Row],[Alakategoria]]</f>
        <v>7. Johtaminen on suunniteltua ja toiminta on kannattavaa</v>
      </c>
      <c r="G84" t="str">
        <f>Koontitaulukko10[[#This Row],[Arviointikriteeri]]</f>
        <v>7.1 Vesihuoltolaitoksella on selkeä kulut ja tuotot erittelevä taloushallintajärjestelmä tai vastaava pienille laitoksille soveltuva järjestelmä luokan 1 laitoksille.</v>
      </c>
      <c r="H84" t="str">
        <f>Koontitaulukko10[[#This Row],[Huoltovarmuus]]</f>
        <v>Ei</v>
      </c>
      <c r="I84" t="str">
        <f>Koontitaulukko10[[#This Row],[Vastaus ]]</f>
        <v/>
      </c>
      <c r="J84">
        <f>Koontitaulukko10[[#This Row],[Vastaajan kokoluokka]]</f>
        <v>0</v>
      </c>
      <c r="K84" t="str">
        <f>Koontitaulukko10[[#This Row],[Vastaajan toimiala]]</f>
        <v/>
      </c>
      <c r="L84" t="str">
        <f>Koontitaulukko10[[#This Row],[Kunta]]</f>
        <v/>
      </c>
      <c r="M84" t="str">
        <f>Koontitaulukko10[[#This Row],[Vesilaitoksen nimi]]</f>
        <v/>
      </c>
      <c r="N84" s="73" t="str">
        <f>Koontitaulukko10[[#This Row],[Vastauspvm]]</f>
        <v/>
      </c>
      <c r="O84" s="73"/>
    </row>
    <row r="85" spans="1:15" x14ac:dyDescent="0.35">
      <c r="A85" t="str">
        <f>Koontitaulukko10[[#This Row],[Kuuluuko kriteeri kyseisen laitoksen vastattavaksi]]</f>
        <v>Ei kuulu</v>
      </c>
      <c r="B85" t="str">
        <f>Koontitaulukko10[[#This Row],[Extra-kysymys]]</f>
        <v/>
      </c>
      <c r="C85" t="str">
        <f>Koontitaulukko10[[#This Row],[Kriteerin kokoluokka]]</f>
        <v>1,2,3,4</v>
      </c>
      <c r="D85" t="str">
        <f>Koontitaulukko10[[#This Row],[Kriteerin toimiala]]</f>
        <v>A,B,C,D</v>
      </c>
      <c r="E85" t="str">
        <f>Koontitaulukko10[[#This Row],[Pääkategoria]]</f>
        <v>Kustannustehokas ja organisoitu</v>
      </c>
      <c r="F85" t="str">
        <f>Koontitaulukko10[[#This Row],[Alakategoria]]</f>
        <v>7. Johtaminen on suunniteltua ja toiminta on kannattavaa</v>
      </c>
      <c r="G85" t="str">
        <f>Koontitaulukko10[[#This Row],[Arviointikriteeri]]</f>
        <v>7.2 Vesihuoltolaitoksella on ajantasainen pitkän aikavälin (min. 20 v) investointiohjelma, jossa on otettu huomioon vesihuollon ja kunnan tarpeet, huomioitu vesihuollon kehittämissuunnitelma sekä toimintavarmuus.</v>
      </c>
      <c r="H85" t="str">
        <f>Koontitaulukko10[[#This Row],[Huoltovarmuus]]</f>
        <v>Kyllä</v>
      </c>
      <c r="I85" t="str">
        <f>Koontitaulukko10[[#This Row],[Vastaus ]]</f>
        <v/>
      </c>
      <c r="J85">
        <f>Koontitaulukko10[[#This Row],[Vastaajan kokoluokka]]</f>
        <v>0</v>
      </c>
      <c r="K85" t="str">
        <f>Koontitaulukko10[[#This Row],[Vastaajan toimiala]]</f>
        <v/>
      </c>
      <c r="L85" t="str">
        <f>Koontitaulukko10[[#This Row],[Kunta]]</f>
        <v/>
      </c>
      <c r="M85" t="str">
        <f>Koontitaulukko10[[#This Row],[Vesilaitoksen nimi]]</f>
        <v/>
      </c>
      <c r="N85" s="73" t="str">
        <f>Koontitaulukko10[[#This Row],[Vastauspvm]]</f>
        <v/>
      </c>
      <c r="O85" s="73"/>
    </row>
    <row r="86" spans="1:15" x14ac:dyDescent="0.35">
      <c r="A86" t="str">
        <f>Koontitaulukko10[[#This Row],[Kuuluuko kriteeri kyseisen laitoksen vastattavaksi]]</f>
        <v>Ei kuulu</v>
      </c>
      <c r="B86" t="str">
        <f>Koontitaulukko10[[#This Row],[Extra-kysymys]]</f>
        <v/>
      </c>
      <c r="C86" t="str">
        <f>Koontitaulukko10[[#This Row],[Kriteerin kokoluokka]]</f>
        <v>1,2,3,4</v>
      </c>
      <c r="D86" t="str">
        <f>Koontitaulukko10[[#This Row],[Kriteerin toimiala]]</f>
        <v>A,B,C,D</v>
      </c>
      <c r="E86" t="str">
        <f>Koontitaulukko10[[#This Row],[Pääkategoria]]</f>
        <v>Kustannustehokas ja organisoitu</v>
      </c>
      <c r="F86" t="str">
        <f>Koontitaulukko10[[#This Row],[Alakategoria]]</f>
        <v>7. Johtaminen on suunniteltua ja toiminta on kannattavaa</v>
      </c>
      <c r="G86" t="str">
        <f>Koontitaulukko10[[#This Row],[Arviointikriteeri]]</f>
        <v>7.3 Vesihuoltolaitoksen perimät maksut ovat sellaiset, että pitkällä aikavälillä (20 v.) voidaan kattaa vesihuoltolaitoksen suunnitellut uus- ja korjausinvestoinnit ja käyttökustannukset.</v>
      </c>
      <c r="H86" t="str">
        <f>Koontitaulukko10[[#This Row],[Huoltovarmuus]]</f>
        <v>Kyllä</v>
      </c>
      <c r="I86" t="str">
        <f>Koontitaulukko10[[#This Row],[Vastaus ]]</f>
        <v/>
      </c>
      <c r="J86">
        <f>Koontitaulukko10[[#This Row],[Vastaajan kokoluokka]]</f>
        <v>0</v>
      </c>
      <c r="K86" t="str">
        <f>Koontitaulukko10[[#This Row],[Vastaajan toimiala]]</f>
        <v/>
      </c>
      <c r="L86" t="str">
        <f>Koontitaulukko10[[#This Row],[Kunta]]</f>
        <v/>
      </c>
      <c r="M86" t="str">
        <f>Koontitaulukko10[[#This Row],[Vesilaitoksen nimi]]</f>
        <v/>
      </c>
      <c r="N86" s="73" t="str">
        <f>Koontitaulukko10[[#This Row],[Vastauspvm]]</f>
        <v/>
      </c>
      <c r="O86" s="73"/>
    </row>
    <row r="87" spans="1:15" x14ac:dyDescent="0.35">
      <c r="A87" t="str">
        <f>Koontitaulukko10[[#This Row],[Kuuluuko kriteeri kyseisen laitoksen vastattavaksi]]</f>
        <v>Ei kuulu</v>
      </c>
      <c r="B87" t="str">
        <f>Koontitaulukko10[[#This Row],[Extra-kysymys]]</f>
        <v/>
      </c>
      <c r="C87" t="str">
        <f>Koontitaulukko10[[#This Row],[Kriteerin kokoluokka]]</f>
        <v>1,2,3,4</v>
      </c>
      <c r="D87" t="str">
        <f>Koontitaulukko10[[#This Row],[Kriteerin toimiala]]</f>
        <v>A,B,C,D</v>
      </c>
      <c r="E87" t="str">
        <f>Koontitaulukko10[[#This Row],[Pääkategoria]]</f>
        <v>Kustannustehokas ja organisoitu</v>
      </c>
      <c r="F87" t="str">
        <f>Koontitaulukko10[[#This Row],[Alakategoria]]</f>
        <v>7. Johtaminen on suunniteltua ja toiminta on kannattavaa</v>
      </c>
      <c r="G87" t="str">
        <f>Koontitaulukko10[[#This Row],[Arviointikriteeri]]</f>
        <v>7.4 Vesihuoltolaitoksella on laadunhallintajärjestelmä tai toiminta on muuten järjestelmällistä ja kirjallisesti/sähköisesti dokumentoitua.</v>
      </c>
      <c r="H87" t="str">
        <f>Koontitaulukko10[[#This Row],[Huoltovarmuus]]</f>
        <v>Ei</v>
      </c>
      <c r="I87" t="str">
        <f>Koontitaulukko10[[#This Row],[Vastaus ]]</f>
        <v/>
      </c>
      <c r="J87">
        <f>Koontitaulukko10[[#This Row],[Vastaajan kokoluokka]]</f>
        <v>0</v>
      </c>
      <c r="K87" t="str">
        <f>Koontitaulukko10[[#This Row],[Vastaajan toimiala]]</f>
        <v/>
      </c>
      <c r="L87" t="str">
        <f>Koontitaulukko10[[#This Row],[Kunta]]</f>
        <v/>
      </c>
      <c r="M87" t="str">
        <f>Koontitaulukko10[[#This Row],[Vesilaitoksen nimi]]</f>
        <v/>
      </c>
      <c r="N87" s="73" t="str">
        <f>Koontitaulukko10[[#This Row],[Vastauspvm]]</f>
        <v/>
      </c>
      <c r="O87" s="73"/>
    </row>
    <row r="88" spans="1:15" x14ac:dyDescent="0.35">
      <c r="A88" t="str">
        <f>Koontitaulukko10[[#This Row],[Kuuluuko kriteeri kyseisen laitoksen vastattavaksi]]</f>
        <v>Ei kuulu</v>
      </c>
      <c r="B88" t="str">
        <f>Koontitaulukko10[[#This Row],[Extra-kysymys]]</f>
        <v/>
      </c>
      <c r="C88" t="str">
        <f>Koontitaulukko10[[#This Row],[Kriteerin kokoluokka]]</f>
        <v>1,2,3,4</v>
      </c>
      <c r="D88" t="str">
        <f>Koontitaulukko10[[#This Row],[Kriteerin toimiala]]</f>
        <v>A,B,C,D</v>
      </c>
      <c r="E88" t="str">
        <f>Koontitaulukko10[[#This Row],[Pääkategoria]]</f>
        <v>Kustannustehokas ja organisoitu</v>
      </c>
      <c r="F88" t="str">
        <f>Koontitaulukko10[[#This Row],[Alakategoria]]</f>
        <v>7. Johtaminen on suunniteltua ja toiminta on kannattavaa</v>
      </c>
      <c r="G88" t="str">
        <f>Koontitaulukko10[[#This Row],[Arviointikriteeri]]</f>
        <v>7.5 Vesihuoltolaitoksen tietojen hallinta on suunniteltua ja järjestelmällistä (esim. tiedonhallintasuunnitelma ja järjestelmä) eli varmistetaan tietojen turvallinen luokittelu, käsittely ja säilytys.</v>
      </c>
      <c r="H88" t="str">
        <f>Koontitaulukko10[[#This Row],[Huoltovarmuus]]</f>
        <v>Kyllä</v>
      </c>
      <c r="I88" t="str">
        <f>Koontitaulukko10[[#This Row],[Vastaus ]]</f>
        <v/>
      </c>
      <c r="J88">
        <f>Koontitaulukko10[[#This Row],[Vastaajan kokoluokka]]</f>
        <v>0</v>
      </c>
      <c r="K88" t="str">
        <f>Koontitaulukko10[[#This Row],[Vastaajan toimiala]]</f>
        <v/>
      </c>
      <c r="L88" t="str">
        <f>Koontitaulukko10[[#This Row],[Kunta]]</f>
        <v/>
      </c>
      <c r="M88" t="str">
        <f>Koontitaulukko10[[#This Row],[Vesilaitoksen nimi]]</f>
        <v/>
      </c>
      <c r="N88" s="73" t="str">
        <f>Koontitaulukko10[[#This Row],[Vastauspvm]]</f>
        <v/>
      </c>
      <c r="O88" s="73"/>
    </row>
    <row r="89" spans="1:15" x14ac:dyDescent="0.35">
      <c r="A89" t="str">
        <f>Koontitaulukko10[[#This Row],[Kuuluuko kriteeri kyseisen laitoksen vastattavaksi]]</f>
        <v>Ei kuulu</v>
      </c>
      <c r="B89" t="str">
        <f>Koontitaulukko10[[#This Row],[Extra-kysymys]]</f>
        <v/>
      </c>
      <c r="C89">
        <f>Koontitaulukko10[[#This Row],[Kriteerin kokoluokka]]</f>
        <v>1</v>
      </c>
      <c r="D89" t="str">
        <f>Koontitaulukko10[[#This Row],[Kriteerin toimiala]]</f>
        <v>A,B,C,D</v>
      </c>
      <c r="E89" t="str">
        <f>Koontitaulukko10[[#This Row],[Pääkategoria]]</f>
        <v>Kustannustehokas ja organisoitu</v>
      </c>
      <c r="F89" t="str">
        <f>Koontitaulukko10[[#This Row],[Alakategoria]]</f>
        <v>7. Johtaminen on suunniteltua ja toiminta on kannattavaa</v>
      </c>
      <c r="G89" t="str">
        <f>Koontitaulukko10[[#This Row],[Arviointikriteeri]]</f>
        <v>7.6 Vesihuoltolaitoksen toiminnasta kerätään järjestelmällisesti tietoa operatiivisen toiminnan (=päivittäisen toiminnan johtamisen) osalta.</v>
      </c>
      <c r="H89" t="str">
        <f>Koontitaulukko10[[#This Row],[Huoltovarmuus]]</f>
        <v>Ei</v>
      </c>
      <c r="I89" t="str">
        <f>Koontitaulukko10[[#This Row],[Vastaus ]]</f>
        <v/>
      </c>
      <c r="J89">
        <f>Koontitaulukko10[[#This Row],[Vastaajan kokoluokka]]</f>
        <v>0</v>
      </c>
      <c r="K89" t="str">
        <f>Koontitaulukko10[[#This Row],[Vastaajan toimiala]]</f>
        <v/>
      </c>
      <c r="L89" t="str">
        <f>Koontitaulukko10[[#This Row],[Kunta]]</f>
        <v/>
      </c>
      <c r="M89" t="str">
        <f>Koontitaulukko10[[#This Row],[Vesilaitoksen nimi]]</f>
        <v/>
      </c>
      <c r="N89" s="73" t="str">
        <f>Koontitaulukko10[[#This Row],[Vastauspvm]]</f>
        <v/>
      </c>
      <c r="O89" s="73"/>
    </row>
    <row r="90" spans="1:15" x14ac:dyDescent="0.35">
      <c r="A90" t="str">
        <f>Koontitaulukko10[[#This Row],[Kuuluuko kriteeri kyseisen laitoksen vastattavaksi]]</f>
        <v>Ei kuulu</v>
      </c>
      <c r="B90" t="str">
        <f>Koontitaulukko10[[#This Row],[Extra-kysymys]]</f>
        <v/>
      </c>
      <c r="C90" t="str">
        <f>Koontitaulukko10[[#This Row],[Kriteerin kokoluokka]]</f>
        <v>2,3,4</v>
      </c>
      <c r="D90" t="str">
        <f>Koontitaulukko10[[#This Row],[Kriteerin toimiala]]</f>
        <v>A,B,C,D</v>
      </c>
      <c r="E90" t="str">
        <f>Koontitaulukko10[[#This Row],[Pääkategoria]]</f>
        <v>Kustannustehokas ja organisoitu</v>
      </c>
      <c r="F90" t="str">
        <f>Koontitaulukko10[[#This Row],[Alakategoria]]</f>
        <v>7. Johtaminen on suunniteltua ja toiminta on kannattavaa</v>
      </c>
      <c r="G90" t="str">
        <f>Koontitaulukko10[[#This Row],[Arviointikriteeri]]</f>
        <v>7.6 Vesihuoltolaitoksen operatiivisesta toiminnasta kerätään järjestelmällisesti oleellista tietoa, jota hyödynnetään johtamisessa</v>
      </c>
      <c r="H90" t="str">
        <f>Koontitaulukko10[[#This Row],[Huoltovarmuus]]</f>
        <v>Ei</v>
      </c>
      <c r="I90" t="str">
        <f>Koontitaulukko10[[#This Row],[Vastaus ]]</f>
        <v/>
      </c>
      <c r="J90">
        <f>Koontitaulukko10[[#This Row],[Vastaajan kokoluokka]]</f>
        <v>0</v>
      </c>
      <c r="K90" t="str">
        <f>Koontitaulukko10[[#This Row],[Vastaajan toimiala]]</f>
        <v/>
      </c>
      <c r="L90" t="str">
        <f>Koontitaulukko10[[#This Row],[Kunta]]</f>
        <v/>
      </c>
      <c r="M90" t="str">
        <f>Koontitaulukko10[[#This Row],[Vesilaitoksen nimi]]</f>
        <v/>
      </c>
      <c r="N90" s="73" t="str">
        <f>Koontitaulukko10[[#This Row],[Vastauspvm]]</f>
        <v/>
      </c>
      <c r="O90" s="73"/>
    </row>
    <row r="91" spans="1:15" x14ac:dyDescent="0.35">
      <c r="A91" t="str">
        <f>Koontitaulukko10[[#This Row],[Kuuluuko kriteeri kyseisen laitoksen vastattavaksi]]</f>
        <v>Ei kuulu</v>
      </c>
      <c r="B91" t="str">
        <f>Koontitaulukko10[[#This Row],[Extra-kysymys]]</f>
        <v/>
      </c>
      <c r="C91">
        <f>Koontitaulukko10[[#This Row],[Kriteerin kokoluokka]]</f>
        <v>3.4</v>
      </c>
      <c r="D91" t="str">
        <f>Koontitaulukko10[[#This Row],[Kriteerin toimiala]]</f>
        <v>A,B,C,D</v>
      </c>
      <c r="E91" t="str">
        <f>Koontitaulukko10[[#This Row],[Pääkategoria]]</f>
        <v>Kustannustehokas ja organisoitu</v>
      </c>
      <c r="F91" t="str">
        <f>Koontitaulukko10[[#This Row],[Alakategoria]]</f>
        <v>7. Johtaminen on suunniteltua ja toiminta on kannattavaa</v>
      </c>
      <c r="G91" t="str">
        <f>Koontitaulukko10[[#This Row],[Arviointikriteeri]]</f>
        <v>7.7 Vesihuoltolaitoksella on käytössä operatiivisen toiminnan johtamisjärjestelmä (sisältää esim. vastuunjaon ja tehtäväkuvaukset) ja jatkuvan parantamisen toimintatapa.</v>
      </c>
      <c r="H91" t="str">
        <f>Koontitaulukko10[[#This Row],[Huoltovarmuus]]</f>
        <v>Ei</v>
      </c>
      <c r="I91" t="str">
        <f>Koontitaulukko10[[#This Row],[Vastaus ]]</f>
        <v/>
      </c>
      <c r="J91">
        <f>Koontitaulukko10[[#This Row],[Vastaajan kokoluokka]]</f>
        <v>0</v>
      </c>
      <c r="K91" t="str">
        <f>Koontitaulukko10[[#This Row],[Vastaajan toimiala]]</f>
        <v/>
      </c>
      <c r="L91" t="str">
        <f>Koontitaulukko10[[#This Row],[Kunta]]</f>
        <v/>
      </c>
      <c r="M91" t="str">
        <f>Koontitaulukko10[[#This Row],[Vesilaitoksen nimi]]</f>
        <v/>
      </c>
      <c r="N91" s="73" t="str">
        <f>Koontitaulukko10[[#This Row],[Vastauspvm]]</f>
        <v/>
      </c>
      <c r="O91" s="73"/>
    </row>
    <row r="92" spans="1:15" x14ac:dyDescent="0.35">
      <c r="A92" t="str">
        <f>Koontitaulukko10[[#This Row],[Kuuluuko kriteeri kyseisen laitoksen vastattavaksi]]</f>
        <v>Ei kuulu</v>
      </c>
      <c r="B92" t="str">
        <f>Koontitaulukko10[[#This Row],[Extra-kysymys]]</f>
        <v/>
      </c>
      <c r="C92">
        <f>Koontitaulukko10[[#This Row],[Kriteerin kokoluokka]]</f>
        <v>3.4</v>
      </c>
      <c r="D92" t="str">
        <f>Koontitaulukko10[[#This Row],[Kriteerin toimiala]]</f>
        <v>B,C</v>
      </c>
      <c r="E92" t="str">
        <f>Koontitaulukko10[[#This Row],[Pääkategoria]]</f>
        <v>Kustannustehokas ja organisoitu</v>
      </c>
      <c r="F92" t="str">
        <f>Koontitaulukko10[[#This Row],[Alakategoria]]</f>
        <v>7. Johtaminen on suunniteltua ja toiminta on kannattavaa</v>
      </c>
      <c r="G92" t="str">
        <f>Koontitaulukko10[[#This Row],[Arviointikriteeri]]</f>
        <v>7.8 Vesihuoltolaitos on kartoittanut tarpeen erisuuruisille perus- ja liittymismaksuille eri alueilla ja ottanut ne käyttöön niiden soveltuessa.</v>
      </c>
      <c r="H92" t="str">
        <f>Koontitaulukko10[[#This Row],[Huoltovarmuus]]</f>
        <v>Ei</v>
      </c>
      <c r="I92" t="str">
        <f>Koontitaulukko10[[#This Row],[Vastaus ]]</f>
        <v/>
      </c>
      <c r="J92">
        <f>Koontitaulukko10[[#This Row],[Vastaajan kokoluokka]]</f>
        <v>0</v>
      </c>
      <c r="K92" t="str">
        <f>Koontitaulukko10[[#This Row],[Vastaajan toimiala]]</f>
        <v/>
      </c>
      <c r="L92" t="str">
        <f>Koontitaulukko10[[#This Row],[Kunta]]</f>
        <v/>
      </c>
      <c r="M92" t="str">
        <f>Koontitaulukko10[[#This Row],[Vesilaitoksen nimi]]</f>
        <v/>
      </c>
      <c r="N92" s="73" t="str">
        <f>Koontitaulukko10[[#This Row],[Vastauspvm]]</f>
        <v/>
      </c>
      <c r="O92" s="73"/>
    </row>
    <row r="93" spans="1:15" x14ac:dyDescent="0.35">
      <c r="A93" t="str">
        <f>Koontitaulukko10[[#This Row],[Kuuluuko kriteeri kyseisen laitoksen vastattavaksi]]</f>
        <v>Ei kuulu</v>
      </c>
      <c r="B93" t="str">
        <f>Koontitaulukko10[[#This Row],[Extra-kysymys]]</f>
        <v/>
      </c>
      <c r="C93">
        <f>Koontitaulukko10[[#This Row],[Kriteerin kokoluokka]]</f>
        <v>4</v>
      </c>
      <c r="D93" t="str">
        <f>Koontitaulukko10[[#This Row],[Kriteerin toimiala]]</f>
        <v>A,B,C,D</v>
      </c>
      <c r="E93" t="str">
        <f>Koontitaulukko10[[#This Row],[Pääkategoria]]</f>
        <v>Kustannustehokas ja organisoitu</v>
      </c>
      <c r="F93" t="str">
        <f>Koontitaulukko10[[#This Row],[Alakategoria]]</f>
        <v>7. Johtaminen on suunniteltua ja toiminta on kannattavaa</v>
      </c>
      <c r="G93" t="str">
        <f>Koontitaulukko10[[#This Row],[Arviointikriteeri]]</f>
        <v>7.9 Vesihuoltolaitoksen henkilöstöllä ja johdolla on tulostavoitteet ja tulosmittarit tai muu määritelty ja mitattava ajuri, jota seurataan ja hyödynnetään toiminnan kehittämisessä.</v>
      </c>
      <c r="H93" t="str">
        <f>Koontitaulukko10[[#This Row],[Huoltovarmuus]]</f>
        <v>Ei</v>
      </c>
      <c r="I93" t="str">
        <f>Koontitaulukko10[[#This Row],[Vastaus ]]</f>
        <v/>
      </c>
      <c r="J93">
        <f>Koontitaulukko10[[#This Row],[Vastaajan kokoluokka]]</f>
        <v>0</v>
      </c>
      <c r="K93" t="str">
        <f>Koontitaulukko10[[#This Row],[Vastaajan toimiala]]</f>
        <v/>
      </c>
      <c r="L93" t="str">
        <f>Koontitaulukko10[[#This Row],[Kunta]]</f>
        <v/>
      </c>
      <c r="M93" t="str">
        <f>Koontitaulukko10[[#This Row],[Vesilaitoksen nimi]]</f>
        <v/>
      </c>
      <c r="N93" s="73" t="str">
        <f>Koontitaulukko10[[#This Row],[Vastauspvm]]</f>
        <v/>
      </c>
      <c r="O93" s="73"/>
    </row>
    <row r="94" spans="1:15" x14ac:dyDescent="0.35">
      <c r="A94" t="str">
        <f>Koontitaulukko10[[#This Row],[Kuuluuko kriteeri kyseisen laitoksen vastattavaksi]]</f>
        <v>Ei kuulu</v>
      </c>
      <c r="B94" t="str">
        <f>Koontitaulukko10[[#This Row],[Extra-kysymys]]</f>
        <v/>
      </c>
      <c r="C94">
        <f>Koontitaulukko10[[#This Row],[Kriteerin kokoluokka]]</f>
        <v>5</v>
      </c>
      <c r="D94" t="str">
        <f>Koontitaulukko10[[#This Row],[Kriteerin toimiala]]</f>
        <v>A,B,C,D</v>
      </c>
      <c r="E94" t="str">
        <f>Koontitaulukko10[[#This Row],[Pääkategoria]]</f>
        <v>Kustannustehokas ja organisoitu</v>
      </c>
      <c r="F94" t="str">
        <f>Koontitaulukko10[[#This Row],[Alakategoria]]</f>
        <v>7. Johtaminen on suunniteltua ja toiminta on kannattavaa</v>
      </c>
      <c r="G94" t="str">
        <f>Koontitaulukko10[[#This Row],[Arviointikriteeri]]</f>
        <v>7.10 Vesihuoltolaitoksella on käytössä auditoidut ISO 9001-laatujärjestelmä sekä ISO 14001 -ympäristöjärjestelmä tai muu vastaava järjestelmä.</v>
      </c>
      <c r="H94" t="str">
        <f>Koontitaulukko10[[#This Row],[Huoltovarmuus]]</f>
        <v>Ei</v>
      </c>
      <c r="I94" t="str">
        <f>Koontitaulukko10[[#This Row],[Vastaus ]]</f>
        <v/>
      </c>
      <c r="J94">
        <f>Koontitaulukko10[[#This Row],[Vastaajan kokoluokka]]</f>
        <v>0</v>
      </c>
      <c r="K94" t="str">
        <f>Koontitaulukko10[[#This Row],[Vastaajan toimiala]]</f>
        <v/>
      </c>
      <c r="L94" t="str">
        <f>Koontitaulukko10[[#This Row],[Kunta]]</f>
        <v/>
      </c>
      <c r="M94" t="str">
        <f>Koontitaulukko10[[#This Row],[Vesilaitoksen nimi]]</f>
        <v/>
      </c>
      <c r="N94" s="73" t="str">
        <f>Koontitaulukko10[[#This Row],[Vastauspvm]]</f>
        <v/>
      </c>
      <c r="O94" s="73"/>
    </row>
    <row r="95" spans="1:15" x14ac:dyDescent="0.35">
      <c r="A95" t="str">
        <f>Koontitaulukko10[[#This Row],[Kuuluuko kriteeri kyseisen laitoksen vastattavaksi]]</f>
        <v>Ei kuulu</v>
      </c>
      <c r="B95" t="str">
        <f>Koontitaulukko10[[#This Row],[Extra-kysymys]]</f>
        <v/>
      </c>
      <c r="C95">
        <f>Koontitaulukko10[[#This Row],[Kriteerin kokoluokka]]</f>
        <v>5</v>
      </c>
      <c r="D95" t="str">
        <f>Koontitaulukko10[[#This Row],[Kriteerin toimiala]]</f>
        <v>A,B,C,D</v>
      </c>
      <c r="E95" t="str">
        <f>Koontitaulukko10[[#This Row],[Pääkategoria]]</f>
        <v>Kustannustehokas ja organisoitu</v>
      </c>
      <c r="F95" t="str">
        <f>Koontitaulukko10[[#This Row],[Alakategoria]]</f>
        <v>7. Johtaminen on suunniteltua ja toiminta on kannattavaa</v>
      </c>
      <c r="G95" t="str">
        <f>Koontitaulukko10[[#This Row],[Arviointikriteeri]]</f>
        <v>7.11 Vesihuoltolaitoksella on käytössä auditoitu ISO 45001 työterveys- ja turvallisuusjärjestelmä tai muu vastaava.</v>
      </c>
      <c r="H95" t="str">
        <f>Koontitaulukko10[[#This Row],[Huoltovarmuus]]</f>
        <v>Ei</v>
      </c>
      <c r="I95" t="str">
        <f>Koontitaulukko10[[#This Row],[Vastaus ]]</f>
        <v/>
      </c>
      <c r="J95">
        <f>Koontitaulukko10[[#This Row],[Vastaajan kokoluokka]]</f>
        <v>0</v>
      </c>
      <c r="K95" t="str">
        <f>Koontitaulukko10[[#This Row],[Vastaajan toimiala]]</f>
        <v/>
      </c>
      <c r="L95" t="str">
        <f>Koontitaulukko10[[#This Row],[Kunta]]</f>
        <v/>
      </c>
      <c r="M95" t="str">
        <f>Koontitaulukko10[[#This Row],[Vesilaitoksen nimi]]</f>
        <v/>
      </c>
      <c r="N95" s="73" t="str">
        <f>Koontitaulukko10[[#This Row],[Vastauspvm]]</f>
        <v/>
      </c>
      <c r="O95" s="73"/>
    </row>
    <row r="96" spans="1:15" x14ac:dyDescent="0.35">
      <c r="A96" t="str">
        <f>Koontitaulukko10[[#This Row],[Kuuluuko kriteeri kyseisen laitoksen vastattavaksi]]</f>
        <v>Ei kuulu</v>
      </c>
      <c r="B96" t="str">
        <f>Koontitaulukko10[[#This Row],[Extra-kysymys]]</f>
        <v/>
      </c>
      <c r="C96" t="str">
        <f>Koontitaulukko10[[#This Row],[Kriteerin kokoluokka]]</f>
        <v xml:space="preserve">1,2,3,4 </v>
      </c>
      <c r="D96" t="str">
        <f>Koontitaulukko10[[#This Row],[Kriteerin toimiala]]</f>
        <v>A,B,C,D</v>
      </c>
      <c r="E96" t="str">
        <f>Koontitaulukko10[[#This Row],[Pääkategoria]]</f>
        <v>Kustannustehokas ja organisoitu</v>
      </c>
      <c r="F96" t="str">
        <f>Koontitaulukko10[[#This Row],[Alakategoria]]</f>
        <v>_Otsikkorivi</v>
      </c>
      <c r="G96" t="str">
        <f>Koontitaulukko10[[#This Row],[Arviointikriteeri]]</f>
        <v>8. Käyttötalouden hallinta ja hankinnat ovat suunniteltuja, tehostettuja ja läpinäkyviä.</v>
      </c>
      <c r="H96" t="str">
        <f>Koontitaulukko10[[#This Row],[Huoltovarmuus]]</f>
        <v>Ei</v>
      </c>
      <c r="I96" t="str">
        <f>Koontitaulukko10[[#This Row],[Vastaus ]]</f>
        <v/>
      </c>
      <c r="J96">
        <f>Koontitaulukko10[[#This Row],[Vastaajan kokoluokka]]</f>
        <v>0</v>
      </c>
      <c r="K96" t="str">
        <f>Koontitaulukko10[[#This Row],[Vastaajan toimiala]]</f>
        <v/>
      </c>
      <c r="L96" t="str">
        <f>Koontitaulukko10[[#This Row],[Kunta]]</f>
        <v/>
      </c>
      <c r="M96" t="str">
        <f>Koontitaulukko10[[#This Row],[Vesilaitoksen nimi]]</f>
        <v/>
      </c>
      <c r="N96" s="73" t="str">
        <f>Koontitaulukko10[[#This Row],[Vastauspvm]]</f>
        <v/>
      </c>
      <c r="O96" s="73"/>
    </row>
    <row r="97" spans="1:15" hidden="1" x14ac:dyDescent="0.35">
      <c r="A97" t="str">
        <f>Koontitaulukko10[[#This Row],[Kuuluuko kriteeri kyseisen laitoksen vastattavaksi]]</f>
        <v>Ei kuulu</v>
      </c>
      <c r="B97" t="str">
        <f>Koontitaulukko10[[#This Row],[Extra-kysymys]]</f>
        <v/>
      </c>
      <c r="C97" t="str">
        <f>Koontitaulukko10[[#This Row],[Kriteerin kokoluokka]]</f>
        <v>1,2,3,4</v>
      </c>
      <c r="D97" t="str">
        <f>Koontitaulukko10[[#This Row],[Kriteerin toimiala]]</f>
        <v>A,B,C,D</v>
      </c>
      <c r="E97" t="str">
        <f>Koontitaulukko10[[#This Row],[Pääkategoria]]</f>
        <v>Kustannustehokas ja organisoitu</v>
      </c>
      <c r="F97" t="str">
        <f>Koontitaulukko10[[#This Row],[Alakategoria]]</f>
        <v>8. Käyttötalouden hallinta ja hankinnat ovat suunniteltuja, tehostettuja ja läpinäkyviä.</v>
      </c>
      <c r="G97" t="str">
        <f>Koontitaulukko10[[#This Row],[Arviointikriteeri]]</f>
        <v>8.1 Vesihuoltolaitoksen hyödykkeiden kulutusta seurataan. Hyödykkeellä tarkoitetaan vesilaitoksen toiminnassaan käyttämiä aineita, tarvikkeita tai palveluita, kuten esim. kemikaaleja, sähköä, rakentamispalvelua tms.</v>
      </c>
      <c r="H97" t="str">
        <f>Koontitaulukko10[[#This Row],[Huoltovarmuus]]</f>
        <v>Ei</v>
      </c>
      <c r="I97" t="str">
        <f>Koontitaulukko10[[#This Row],[Vastaus ]]</f>
        <v/>
      </c>
      <c r="J97">
        <f>Koontitaulukko10[[#This Row],[Vastaajan kokoluokka]]</f>
        <v>0</v>
      </c>
      <c r="K97" t="str">
        <f>Koontitaulukko10[[#This Row],[Vastaajan toimiala]]</f>
        <v/>
      </c>
      <c r="L97" t="str">
        <f>Koontitaulukko10[[#This Row],[Kunta]]</f>
        <v/>
      </c>
      <c r="M97" t="str">
        <f>Koontitaulukko10[[#This Row],[Vesilaitoksen nimi]]</f>
        <v/>
      </c>
      <c r="N97" s="73" t="str">
        <f>Koontitaulukko10[[#This Row],[Vastauspvm]]</f>
        <v/>
      </c>
      <c r="O97" s="73"/>
    </row>
    <row r="98" spans="1:15" x14ac:dyDescent="0.35">
      <c r="A98" t="str">
        <f>Koontitaulukko10[[#This Row],[Kuuluuko kriteeri kyseisen laitoksen vastattavaksi]]</f>
        <v>Ei kuulu</v>
      </c>
      <c r="B98" t="str">
        <f>Koontitaulukko10[[#This Row],[Extra-kysymys]]</f>
        <v/>
      </c>
      <c r="C98" t="str">
        <f>Koontitaulukko10[[#This Row],[Kriteerin kokoluokka]]</f>
        <v>1,2,3,4</v>
      </c>
      <c r="D98" t="str">
        <f>Koontitaulukko10[[#This Row],[Kriteerin toimiala]]</f>
        <v>A,B,C,D</v>
      </c>
      <c r="E98" t="str">
        <f>Koontitaulukko10[[#This Row],[Pääkategoria]]</f>
        <v>Kustannustehokas ja organisoitu</v>
      </c>
      <c r="F98" t="str">
        <f>Koontitaulukko10[[#This Row],[Alakategoria]]</f>
        <v>8. Käyttötalouden hallinta ja hankinnat ovat suunniteltuja, tehostettuja ja läpinäkyviä.</v>
      </c>
      <c r="G98" t="str">
        <f>Koontitaulukko10[[#This Row],[Arviointikriteeri]]</f>
        <v xml:space="preserve">8.2 Vesihuoltolaitoksen kustannuksia seurataan ja käyttötaloutta tehostetaan aktiivisesti. </v>
      </c>
      <c r="H98" t="str">
        <f>Koontitaulukko10[[#This Row],[Huoltovarmuus]]</f>
        <v>Ei</v>
      </c>
      <c r="I98" t="str">
        <f>Koontitaulukko10[[#This Row],[Vastaus ]]</f>
        <v/>
      </c>
      <c r="J98">
        <f>Koontitaulukko10[[#This Row],[Vastaajan kokoluokka]]</f>
        <v>0</v>
      </c>
      <c r="K98" t="str">
        <f>Koontitaulukko10[[#This Row],[Vastaajan toimiala]]</f>
        <v/>
      </c>
      <c r="L98" t="str">
        <f>Koontitaulukko10[[#This Row],[Kunta]]</f>
        <v/>
      </c>
      <c r="M98" t="str">
        <f>Koontitaulukko10[[#This Row],[Vesilaitoksen nimi]]</f>
        <v/>
      </c>
      <c r="N98" s="73" t="str">
        <f>Koontitaulukko10[[#This Row],[Vastauspvm]]</f>
        <v/>
      </c>
      <c r="O98" s="73"/>
    </row>
    <row r="99" spans="1:15" x14ac:dyDescent="0.35">
      <c r="A99" t="str">
        <f>Koontitaulukko10[[#This Row],[Kuuluuko kriteeri kyseisen laitoksen vastattavaksi]]</f>
        <v>Ei kuulu</v>
      </c>
      <c r="B99" t="str">
        <f>Koontitaulukko10[[#This Row],[Extra-kysymys]]</f>
        <v/>
      </c>
      <c r="C99" t="str">
        <f>Koontitaulukko10[[#This Row],[Kriteerin kokoluokka]]</f>
        <v>1,2,3,4</v>
      </c>
      <c r="D99" t="str">
        <f>Koontitaulukko10[[#This Row],[Kriteerin toimiala]]</f>
        <v>A,B,C,D</v>
      </c>
      <c r="E99" t="str">
        <f>Koontitaulukko10[[#This Row],[Pääkategoria]]</f>
        <v>Kustannustehokas ja organisoitu</v>
      </c>
      <c r="F99" t="str">
        <f>Koontitaulukko10[[#This Row],[Alakategoria]]</f>
        <v>8. Käyttötalouden hallinta ja hankinnat ovat suunniteltuja, tehostettuja ja läpinäkyviä.</v>
      </c>
      <c r="G99" t="str">
        <f>Koontitaulukko10[[#This Row],[Arviointikriteeri]]</f>
        <v xml:space="preserve">8.3 Vesihuoltolaitoksella tai kunnalla on vesihuoltolaitosta koskevat hankintaohjeet. Hankinnoissa otetaan tarkoituksenmukaisesti huomioon laatu- ja hintakriteerit. </v>
      </c>
      <c r="H99" t="str">
        <f>Koontitaulukko10[[#This Row],[Huoltovarmuus]]</f>
        <v>Ei</v>
      </c>
      <c r="I99" t="str">
        <f>Koontitaulukko10[[#This Row],[Vastaus ]]</f>
        <v/>
      </c>
      <c r="J99">
        <f>Koontitaulukko10[[#This Row],[Vastaajan kokoluokka]]</f>
        <v>0</v>
      </c>
      <c r="K99" t="str">
        <f>Koontitaulukko10[[#This Row],[Vastaajan toimiala]]</f>
        <v/>
      </c>
      <c r="L99" t="str">
        <f>Koontitaulukko10[[#This Row],[Kunta]]</f>
        <v/>
      </c>
      <c r="M99" t="str">
        <f>Koontitaulukko10[[#This Row],[Vesilaitoksen nimi]]</f>
        <v/>
      </c>
      <c r="N99" s="73" t="str">
        <f>Koontitaulukko10[[#This Row],[Vastauspvm]]</f>
        <v/>
      </c>
      <c r="O99" s="73"/>
    </row>
    <row r="100" spans="1:15" x14ac:dyDescent="0.35">
      <c r="A100" t="str">
        <f>Koontitaulukko10[[#This Row],[Kuuluuko kriteeri kyseisen laitoksen vastattavaksi]]</f>
        <v>Ei kuulu</v>
      </c>
      <c r="B100" t="str">
        <f>Koontitaulukko10[[#This Row],[Extra-kysymys]]</f>
        <v/>
      </c>
      <c r="C100" t="str">
        <f>Koontitaulukko10[[#This Row],[Kriteerin kokoluokka]]</f>
        <v>2,3,4</v>
      </c>
      <c r="D100" t="str">
        <f>Koontitaulukko10[[#This Row],[Kriteerin toimiala]]</f>
        <v>A,B,C,D</v>
      </c>
      <c r="E100" t="str">
        <f>Koontitaulukko10[[#This Row],[Pääkategoria]]</f>
        <v>Kustannustehokas ja organisoitu</v>
      </c>
      <c r="F100" t="str">
        <f>Koontitaulukko10[[#This Row],[Alakategoria]]</f>
        <v>8. Käyttötalouden hallinta ja hankinnat ovat suunniteltuja, tehostettuja ja läpinäkyviä.</v>
      </c>
      <c r="G100" t="str">
        <f>Koontitaulukko10[[#This Row],[Arviointikriteeri]]</f>
        <v>8.4 Vesihuoltolaitoksen henkilöstö on saanut koulutusta hankintojen ja palvelujen kilpailutukseen ja sopimuksiin sekä palvelujen ja toimitusten valvontaan.</v>
      </c>
      <c r="H100" t="str">
        <f>Koontitaulukko10[[#This Row],[Huoltovarmuus]]</f>
        <v>Ei</v>
      </c>
      <c r="I100" t="str">
        <f>Koontitaulukko10[[#This Row],[Vastaus ]]</f>
        <v/>
      </c>
      <c r="J100">
        <f>Koontitaulukko10[[#This Row],[Vastaajan kokoluokka]]</f>
        <v>0</v>
      </c>
      <c r="K100" t="str">
        <f>Koontitaulukko10[[#This Row],[Vastaajan toimiala]]</f>
        <v/>
      </c>
      <c r="L100" t="str">
        <f>Koontitaulukko10[[#This Row],[Kunta]]</f>
        <v/>
      </c>
      <c r="M100" t="str">
        <f>Koontitaulukko10[[#This Row],[Vesilaitoksen nimi]]</f>
        <v/>
      </c>
      <c r="N100" s="73" t="str">
        <f>Koontitaulukko10[[#This Row],[Vastauspvm]]</f>
        <v/>
      </c>
      <c r="O100" s="73"/>
    </row>
    <row r="101" spans="1:15" x14ac:dyDescent="0.35">
      <c r="A101" t="str">
        <f>Koontitaulukko10[[#This Row],[Kuuluuko kriteeri kyseisen laitoksen vastattavaksi]]</f>
        <v>Ei kuulu</v>
      </c>
      <c r="B101" t="str">
        <f>Koontitaulukko10[[#This Row],[Extra-kysymys]]</f>
        <v/>
      </c>
      <c r="C101" t="str">
        <f>Koontitaulukko10[[#This Row],[Kriteerin kokoluokka]]</f>
        <v>2,3,4</v>
      </c>
      <c r="D101" t="str">
        <f>Koontitaulukko10[[#This Row],[Kriteerin toimiala]]</f>
        <v>A,B,C,D</v>
      </c>
      <c r="E101" t="str">
        <f>Koontitaulukko10[[#This Row],[Pääkategoria]]</f>
        <v>Kustannustehokas ja organisoitu</v>
      </c>
      <c r="F101" t="str">
        <f>Koontitaulukko10[[#This Row],[Alakategoria]]</f>
        <v>8. Käyttötalouden hallinta ja hankinnat ovat suunniteltuja, tehostettuja ja läpinäkyviä.</v>
      </c>
      <c r="G101" t="str">
        <f>Koontitaulukko10[[#This Row],[Arviointikriteeri]]</f>
        <v xml:space="preserve">8.5 Vesihuoltolaitoksella on puitesopimukset keskeisten tavaroiden ja palveluiden hankinnan osalta. </v>
      </c>
      <c r="H101" t="str">
        <f>Koontitaulukko10[[#This Row],[Huoltovarmuus]]</f>
        <v>Ei</v>
      </c>
      <c r="I101" t="str">
        <f>Koontitaulukko10[[#This Row],[Vastaus ]]</f>
        <v/>
      </c>
      <c r="J101">
        <f>Koontitaulukko10[[#This Row],[Vastaajan kokoluokka]]</f>
        <v>0</v>
      </c>
      <c r="K101" t="str">
        <f>Koontitaulukko10[[#This Row],[Vastaajan toimiala]]</f>
        <v/>
      </c>
      <c r="L101" t="str">
        <f>Koontitaulukko10[[#This Row],[Kunta]]</f>
        <v/>
      </c>
      <c r="M101" t="str">
        <f>Koontitaulukko10[[#This Row],[Vesilaitoksen nimi]]</f>
        <v/>
      </c>
      <c r="N101" s="73" t="str">
        <f>Koontitaulukko10[[#This Row],[Vastauspvm]]</f>
        <v/>
      </c>
      <c r="O101" s="73"/>
    </row>
    <row r="102" spans="1:15" x14ac:dyDescent="0.35">
      <c r="A102" t="str">
        <f>Koontitaulukko10[[#This Row],[Kuuluuko kriteeri kyseisen laitoksen vastattavaksi]]</f>
        <v>Ei kuulu</v>
      </c>
      <c r="B102" t="str">
        <f>Koontitaulukko10[[#This Row],[Extra-kysymys]]</f>
        <v/>
      </c>
      <c r="C102" t="str">
        <f>Koontitaulukko10[[#This Row],[Kriteerin kokoluokka]]</f>
        <v>2,3,4</v>
      </c>
      <c r="D102" t="str">
        <f>Koontitaulukko10[[#This Row],[Kriteerin toimiala]]</f>
        <v>A,B,C,D</v>
      </c>
      <c r="E102" t="str">
        <f>Koontitaulukko10[[#This Row],[Pääkategoria]]</f>
        <v>Kustannustehokas ja organisoitu</v>
      </c>
      <c r="F102" t="str">
        <f>Koontitaulukko10[[#This Row],[Alakategoria]]</f>
        <v>8. Käyttötalouden hallinta ja hankinnat ovat suunniteltuja, tehostettuja ja läpinäkyviä.</v>
      </c>
      <c r="G102" t="str">
        <f>Koontitaulukko10[[#This Row],[Arviointikriteeri]]</f>
        <v>8.6 Vesihuoltolaitos kerää ja käyttää tunnuslukutietoa systemaattisesti ja vertailee toimintaansa kokoluokan ja lähialueen muihin vastaaviin toimijoihin.</v>
      </c>
      <c r="H102" t="str">
        <f>Koontitaulukko10[[#This Row],[Huoltovarmuus]]</f>
        <v>Ei</v>
      </c>
      <c r="I102" t="str">
        <f>Koontitaulukko10[[#This Row],[Vastaus ]]</f>
        <v/>
      </c>
      <c r="J102">
        <f>Koontitaulukko10[[#This Row],[Vastaajan kokoluokka]]</f>
        <v>0</v>
      </c>
      <c r="K102" t="str">
        <f>Koontitaulukko10[[#This Row],[Vastaajan toimiala]]</f>
        <v/>
      </c>
      <c r="L102" t="str">
        <f>Koontitaulukko10[[#This Row],[Kunta]]</f>
        <v/>
      </c>
      <c r="M102" t="str">
        <f>Koontitaulukko10[[#This Row],[Vesilaitoksen nimi]]</f>
        <v/>
      </c>
      <c r="N102" s="73" t="str">
        <f>Koontitaulukko10[[#This Row],[Vastauspvm]]</f>
        <v/>
      </c>
      <c r="O102" s="73"/>
    </row>
    <row r="103" spans="1:15" x14ac:dyDescent="0.35">
      <c r="A103" t="str">
        <f>Koontitaulukko10[[#This Row],[Kuuluuko kriteeri kyseisen laitoksen vastattavaksi]]</f>
        <v>Ei kuulu</v>
      </c>
      <c r="B103" t="str">
        <f>Koontitaulukko10[[#This Row],[Extra-kysymys]]</f>
        <v/>
      </c>
      <c r="C103">
        <f>Koontitaulukko10[[#This Row],[Kriteerin kokoluokka]]</f>
        <v>3.4</v>
      </c>
      <c r="D103" t="str">
        <f>Koontitaulukko10[[#This Row],[Kriteerin toimiala]]</f>
        <v>A,B,C,D</v>
      </c>
      <c r="E103" t="str">
        <f>Koontitaulukko10[[#This Row],[Pääkategoria]]</f>
        <v>Kustannustehokas ja organisoitu</v>
      </c>
      <c r="F103" t="str">
        <f>Koontitaulukko10[[#This Row],[Alakategoria]]</f>
        <v>8. Käyttötalouden hallinta ja hankinnat ovat suunniteltuja, tehostettuja ja läpinäkyviä.</v>
      </c>
      <c r="G103" t="str">
        <f>Koontitaulukko10[[#This Row],[Arviointikriteeri]]</f>
        <v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v>
      </c>
      <c r="H103" t="str">
        <f>Koontitaulukko10[[#This Row],[Huoltovarmuus]]</f>
        <v>Ei</v>
      </c>
      <c r="I103" t="str">
        <f>Koontitaulukko10[[#This Row],[Vastaus ]]</f>
        <v/>
      </c>
      <c r="J103">
        <f>Koontitaulukko10[[#This Row],[Vastaajan kokoluokka]]</f>
        <v>0</v>
      </c>
      <c r="K103" t="str">
        <f>Koontitaulukko10[[#This Row],[Vastaajan toimiala]]</f>
        <v/>
      </c>
      <c r="L103" t="str">
        <f>Koontitaulukko10[[#This Row],[Kunta]]</f>
        <v/>
      </c>
      <c r="M103" t="str">
        <f>Koontitaulukko10[[#This Row],[Vesilaitoksen nimi]]</f>
        <v/>
      </c>
      <c r="N103" s="73" t="str">
        <f>Koontitaulukko10[[#This Row],[Vastauspvm]]</f>
        <v/>
      </c>
      <c r="O103" s="73"/>
    </row>
    <row r="104" spans="1:15" x14ac:dyDescent="0.35">
      <c r="A104" t="str">
        <f>Koontitaulukko10[[#This Row],[Kuuluuko kriteeri kyseisen laitoksen vastattavaksi]]</f>
        <v>Ei kuulu</v>
      </c>
      <c r="B104" t="str">
        <f>Koontitaulukko10[[#This Row],[Extra-kysymys]]</f>
        <v/>
      </c>
      <c r="C104">
        <f>Koontitaulukko10[[#This Row],[Kriteerin kokoluokka]]</f>
        <v>5</v>
      </c>
      <c r="D104" t="str">
        <f>Koontitaulukko10[[#This Row],[Kriteerin toimiala]]</f>
        <v>A,B,C,D</v>
      </c>
      <c r="E104" t="str">
        <f>Koontitaulukko10[[#This Row],[Pääkategoria]]</f>
        <v>Kustannustehokas ja organisoitu</v>
      </c>
      <c r="F104" t="str">
        <f>Koontitaulukko10[[#This Row],[Alakategoria]]</f>
        <v>8. Käyttötalouden hallinta ja hankinnat ovat suunniteltuja, tehostettuja ja läpinäkyviä.</v>
      </c>
      <c r="G104" t="str">
        <f>Koontitaulukko10[[#This Row],[Arviointikriteeri]]</f>
        <v>8.8 Vesihuoltolaitoksen hankintakriteereihin sisältyvät sosiaalinen ja ympäristövastuullisuus</v>
      </c>
      <c r="H104" t="str">
        <f>Koontitaulukko10[[#This Row],[Huoltovarmuus]]</f>
        <v>Ei</v>
      </c>
      <c r="I104" t="str">
        <f>Koontitaulukko10[[#This Row],[Vastaus ]]</f>
        <v/>
      </c>
      <c r="J104">
        <f>Koontitaulukko10[[#This Row],[Vastaajan kokoluokka]]</f>
        <v>0</v>
      </c>
      <c r="K104" t="str">
        <f>Koontitaulukko10[[#This Row],[Vastaajan toimiala]]</f>
        <v/>
      </c>
      <c r="L104" t="str">
        <f>Koontitaulukko10[[#This Row],[Kunta]]</f>
        <v/>
      </c>
      <c r="M104" t="str">
        <f>Koontitaulukko10[[#This Row],[Vesilaitoksen nimi]]</f>
        <v/>
      </c>
      <c r="N104" s="73" t="str">
        <f>Koontitaulukko10[[#This Row],[Vastauspvm]]</f>
        <v/>
      </c>
      <c r="O104" s="73"/>
    </row>
    <row r="105" spans="1:15" x14ac:dyDescent="0.35">
      <c r="A105" t="str">
        <f>Koontitaulukko10[[#This Row],[Kuuluuko kriteeri kyseisen laitoksen vastattavaksi]]</f>
        <v>Ei kuulu</v>
      </c>
      <c r="B105" t="str">
        <f>Koontitaulukko10[[#This Row],[Extra-kysymys]]</f>
        <v/>
      </c>
      <c r="C105" t="str">
        <f>Koontitaulukko10[[#This Row],[Kriteerin kokoluokka]]</f>
        <v xml:space="preserve">1,2,3,4 </v>
      </c>
      <c r="D105" t="str">
        <f>Koontitaulukko10[[#This Row],[Kriteerin toimiala]]</f>
        <v>A,B,C,D</v>
      </c>
      <c r="E105" t="str">
        <f>Koontitaulukko10[[#This Row],[Pääkategoria]]</f>
        <v>Kestävä ja kehittyvä</v>
      </c>
      <c r="F105" t="str">
        <f>Koontitaulukko10[[#This Row],[Alakategoria]]</f>
        <v>_Otsikkorivi</v>
      </c>
      <c r="G105" t="str">
        <f>Koontitaulukko10[[#This Row],[Arviointikriteeri]]</f>
        <v>9. Jätevesien käsittelyn ja johtamisen ympäristökuormitus minimoidaan</v>
      </c>
      <c r="H105" t="str">
        <f>Koontitaulukko10[[#This Row],[Huoltovarmuus]]</f>
        <v>Ei</v>
      </c>
      <c r="I105" t="str">
        <f>Koontitaulukko10[[#This Row],[Vastaus ]]</f>
        <v/>
      </c>
      <c r="J105">
        <f>Koontitaulukko10[[#This Row],[Vastaajan kokoluokka]]</f>
        <v>0</v>
      </c>
      <c r="K105" t="str">
        <f>Koontitaulukko10[[#This Row],[Vastaajan toimiala]]</f>
        <v/>
      </c>
      <c r="L105" t="str">
        <f>Koontitaulukko10[[#This Row],[Kunta]]</f>
        <v/>
      </c>
      <c r="M105" t="str">
        <f>Koontitaulukko10[[#This Row],[Vesilaitoksen nimi]]</f>
        <v/>
      </c>
      <c r="N105" s="73" t="str">
        <f>Koontitaulukko10[[#This Row],[Vastauspvm]]</f>
        <v/>
      </c>
      <c r="O105" s="73"/>
    </row>
    <row r="106" spans="1:15" hidden="1" x14ac:dyDescent="0.35">
      <c r="A106" t="str">
        <f>Koontitaulukko10[[#This Row],[Kuuluuko kriteeri kyseisen laitoksen vastattavaksi]]</f>
        <v>Ei kuulu</v>
      </c>
      <c r="B106" t="str">
        <f>Koontitaulukko10[[#This Row],[Extra-kysymys]]</f>
        <v/>
      </c>
      <c r="C106" t="str">
        <f>Koontitaulukko10[[#This Row],[Kriteerin kokoluokka]]</f>
        <v>1,2,3,4</v>
      </c>
      <c r="D106" t="str">
        <f>Koontitaulukko10[[#This Row],[Kriteerin toimiala]]</f>
        <v>C</v>
      </c>
      <c r="E106" t="str">
        <f>Koontitaulukko10[[#This Row],[Pääkategoria]]</f>
        <v>Kestävä ja kehittyvä</v>
      </c>
      <c r="F106" t="str">
        <f>Koontitaulukko10[[#This Row],[Alakategoria]]</f>
        <v>9. Jätevesien käsittelyn ja johtamisen ympäristökuormitus minimoidaan</v>
      </c>
      <c r="G106" t="str">
        <f>Koontitaulukko10[[#This Row],[Arviointikriteeri]]</f>
        <v>9.1 Jätevesiverkoston vuotovesiprosentti &lt; 30 %</v>
      </c>
      <c r="H106" t="str">
        <f>Koontitaulukko10[[#This Row],[Huoltovarmuus]]</f>
        <v>Kyllä</v>
      </c>
      <c r="I106" t="str">
        <f>Koontitaulukko10[[#This Row],[Vastaus ]]</f>
        <v/>
      </c>
      <c r="J106">
        <f>Koontitaulukko10[[#This Row],[Vastaajan kokoluokka]]</f>
        <v>0</v>
      </c>
      <c r="K106" t="str">
        <f>Koontitaulukko10[[#This Row],[Vastaajan toimiala]]</f>
        <v/>
      </c>
      <c r="L106" t="str">
        <f>Koontitaulukko10[[#This Row],[Kunta]]</f>
        <v/>
      </c>
      <c r="M106" t="str">
        <f>Koontitaulukko10[[#This Row],[Vesilaitoksen nimi]]</f>
        <v/>
      </c>
      <c r="N106" s="73" t="str">
        <f>Koontitaulukko10[[#This Row],[Vastauspvm]]</f>
        <v/>
      </c>
      <c r="O106" s="73"/>
    </row>
    <row r="107" spans="1:15" x14ac:dyDescent="0.35">
      <c r="A107" t="str">
        <f>Koontitaulukko10[[#This Row],[Kuuluuko kriteeri kyseisen laitoksen vastattavaksi]]</f>
        <v>Ei kuulu</v>
      </c>
      <c r="B107" t="str">
        <f>Koontitaulukko10[[#This Row],[Extra-kysymys]]</f>
        <v/>
      </c>
      <c r="C107" t="str">
        <f>Koontitaulukko10[[#This Row],[Kriteerin kokoluokka]]</f>
        <v>1,2,3,4</v>
      </c>
      <c r="D107" t="str">
        <f>Koontitaulukko10[[#This Row],[Kriteerin toimiala]]</f>
        <v>C</v>
      </c>
      <c r="E107" t="str">
        <f>Koontitaulukko10[[#This Row],[Pääkategoria]]</f>
        <v>Kestävä ja kehittyvä</v>
      </c>
      <c r="F107" t="str">
        <f>Koontitaulukko10[[#This Row],[Alakategoria]]</f>
        <v>9. Jätevesien käsittelyn ja johtamisen ympäristökuormitus minimoidaan</v>
      </c>
      <c r="G107" t="str">
        <f>Koontitaulukko10[[#This Row],[Arviointikriteeri]]</f>
        <v>9.2 Viemäritukosten määrä &lt; 5 kpl/100 km/v</v>
      </c>
      <c r="H107" t="str">
        <f>Koontitaulukko10[[#This Row],[Huoltovarmuus]]</f>
        <v>Kyllä</v>
      </c>
      <c r="I107" t="str">
        <f>Koontitaulukko10[[#This Row],[Vastaus ]]</f>
        <v/>
      </c>
      <c r="J107">
        <f>Koontitaulukko10[[#This Row],[Vastaajan kokoluokka]]</f>
        <v>0</v>
      </c>
      <c r="K107" t="str">
        <f>Koontitaulukko10[[#This Row],[Vastaajan toimiala]]</f>
        <v/>
      </c>
      <c r="L107" t="str">
        <f>Koontitaulukko10[[#This Row],[Kunta]]</f>
        <v/>
      </c>
      <c r="M107" t="str">
        <f>Koontitaulukko10[[#This Row],[Vesilaitoksen nimi]]</f>
        <v/>
      </c>
      <c r="N107" s="73" t="str">
        <f>Koontitaulukko10[[#This Row],[Vastauspvm]]</f>
        <v/>
      </c>
      <c r="O107" s="73"/>
    </row>
    <row r="108" spans="1:15" x14ac:dyDescent="0.35">
      <c r="A108" t="str">
        <f>Koontitaulukko10[[#This Row],[Kuuluuko kriteeri kyseisen laitoksen vastattavaksi]]</f>
        <v>Ei kuulu</v>
      </c>
      <c r="B108" t="str">
        <f>Koontitaulukko10[[#This Row],[Extra-kysymys]]</f>
        <v/>
      </c>
      <c r="C108" t="str">
        <f>Koontitaulukko10[[#This Row],[Kriteerin kokoluokka]]</f>
        <v>1,2,3,4</v>
      </c>
      <c r="D108" t="str">
        <f>Koontitaulukko10[[#This Row],[Kriteerin toimiala]]</f>
        <v>D</v>
      </c>
      <c r="E108" t="str">
        <f>Koontitaulukko10[[#This Row],[Pääkategoria]]</f>
        <v>Kestävä ja kehittyvä</v>
      </c>
      <c r="F108" t="str">
        <f>Koontitaulukko10[[#This Row],[Alakategoria]]</f>
        <v>9. Jätevesien käsittelyn ja johtamisen ympäristökuormitus minimoidaan</v>
      </c>
      <c r="G108" t="str">
        <f>Koontitaulukko10[[#This Row],[Arviointikriteeri]]</f>
        <v>9.3 Laitosohitusten määrä jätevedestä &lt; 0,5 %</v>
      </c>
      <c r="H108" t="str">
        <f>Koontitaulukko10[[#This Row],[Huoltovarmuus]]</f>
        <v>Kyllä</v>
      </c>
      <c r="I108" t="str">
        <f>Koontitaulukko10[[#This Row],[Vastaus ]]</f>
        <v/>
      </c>
      <c r="J108">
        <f>Koontitaulukko10[[#This Row],[Vastaajan kokoluokka]]</f>
        <v>0</v>
      </c>
      <c r="K108" t="str">
        <f>Koontitaulukko10[[#This Row],[Vastaajan toimiala]]</f>
        <v/>
      </c>
      <c r="L108" t="str">
        <f>Koontitaulukko10[[#This Row],[Kunta]]</f>
        <v/>
      </c>
      <c r="M108" t="str">
        <f>Koontitaulukko10[[#This Row],[Vesilaitoksen nimi]]</f>
        <v/>
      </c>
      <c r="N108" s="73" t="str">
        <f>Koontitaulukko10[[#This Row],[Vastauspvm]]</f>
        <v/>
      </c>
      <c r="O108" s="73"/>
    </row>
    <row r="109" spans="1:15" x14ac:dyDescent="0.35">
      <c r="A109" t="str">
        <f>Koontitaulukko10[[#This Row],[Kuuluuko kriteeri kyseisen laitoksen vastattavaksi]]</f>
        <v>Ei kuulu</v>
      </c>
      <c r="B109" t="str">
        <f>Koontitaulukko10[[#This Row],[Extra-kysymys]]</f>
        <v/>
      </c>
      <c r="C109" t="str">
        <f>Koontitaulukko10[[#This Row],[Kriteerin kokoluokka]]</f>
        <v>1,2,3,4</v>
      </c>
      <c r="D109" t="str">
        <f>Koontitaulukko10[[#This Row],[Kriteerin toimiala]]</f>
        <v>C</v>
      </c>
      <c r="E109" t="str">
        <f>Koontitaulukko10[[#This Row],[Pääkategoria]]</f>
        <v>Kestävä ja kehittyvä</v>
      </c>
      <c r="F109" t="str">
        <f>Koontitaulukko10[[#This Row],[Alakategoria]]</f>
        <v>9. Jätevesien käsittelyn ja johtamisen ympäristökuormitus minimoidaan</v>
      </c>
      <c r="G109" t="str">
        <f>Koontitaulukko10[[#This Row],[Arviointikriteeri]]</f>
        <v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v>
      </c>
      <c r="H109" t="str">
        <f>Koontitaulukko10[[#This Row],[Huoltovarmuus]]</f>
        <v>Ei</v>
      </c>
      <c r="I109" t="str">
        <f>Koontitaulukko10[[#This Row],[Vastaus ]]</f>
        <v/>
      </c>
      <c r="J109">
        <f>Koontitaulukko10[[#This Row],[Vastaajan kokoluokka]]</f>
        <v>0</v>
      </c>
      <c r="K109" t="str">
        <f>Koontitaulukko10[[#This Row],[Vastaajan toimiala]]</f>
        <v/>
      </c>
      <c r="L109" t="str">
        <f>Koontitaulukko10[[#This Row],[Kunta]]</f>
        <v/>
      </c>
      <c r="M109" t="str">
        <f>Koontitaulukko10[[#This Row],[Vesilaitoksen nimi]]</f>
        <v/>
      </c>
      <c r="N109" s="73" t="str">
        <f>Koontitaulukko10[[#This Row],[Vastauspvm]]</f>
        <v/>
      </c>
      <c r="O109" s="73"/>
    </row>
    <row r="110" spans="1:15" x14ac:dyDescent="0.35">
      <c r="A110" t="str">
        <f>Koontitaulukko10[[#This Row],[Kuuluuko kriteeri kyseisen laitoksen vastattavaksi]]</f>
        <v>Ei kuulu</v>
      </c>
      <c r="B110" t="str">
        <f>Koontitaulukko10[[#This Row],[Extra-kysymys]]</f>
        <v/>
      </c>
      <c r="C110" t="str">
        <f>Koontitaulukko10[[#This Row],[Kriteerin kokoluokka]]</f>
        <v>2,3,4</v>
      </c>
      <c r="D110" t="str">
        <f>Koontitaulukko10[[#This Row],[Kriteerin toimiala]]</f>
        <v>C</v>
      </c>
      <c r="E110" t="str">
        <f>Koontitaulukko10[[#This Row],[Pääkategoria]]</f>
        <v>Kestävä ja kehittyvä</v>
      </c>
      <c r="F110" t="str">
        <f>Koontitaulukko10[[#This Row],[Alakategoria]]</f>
        <v>9. Jätevesien käsittelyn ja johtamisen ympäristökuormitus minimoidaan</v>
      </c>
      <c r="G110" t="str">
        <f>Koontitaulukko10[[#This Row],[Arviointikriteeri]]</f>
        <v xml:space="preserve">9.5 Vesihuoltolaitoksen sekaviemäröinnin vähentämisestä on tehty suunnitelma ja sitä vähennetään vuosittain </v>
      </c>
      <c r="H110" t="str">
        <f>Koontitaulukko10[[#This Row],[Huoltovarmuus]]</f>
        <v>Kyllä</v>
      </c>
      <c r="I110" t="str">
        <f>Koontitaulukko10[[#This Row],[Vastaus ]]</f>
        <v/>
      </c>
      <c r="J110">
        <f>Koontitaulukko10[[#This Row],[Vastaajan kokoluokka]]</f>
        <v>0</v>
      </c>
      <c r="K110" t="str">
        <f>Koontitaulukko10[[#This Row],[Vastaajan toimiala]]</f>
        <v/>
      </c>
      <c r="L110" t="str">
        <f>Koontitaulukko10[[#This Row],[Kunta]]</f>
        <v/>
      </c>
      <c r="M110" t="str">
        <f>Koontitaulukko10[[#This Row],[Vesilaitoksen nimi]]</f>
        <v/>
      </c>
      <c r="N110" s="73" t="str">
        <f>Koontitaulukko10[[#This Row],[Vastauspvm]]</f>
        <v/>
      </c>
      <c r="O110" s="73"/>
    </row>
    <row r="111" spans="1:15" x14ac:dyDescent="0.35">
      <c r="A111" t="str">
        <f>Koontitaulukko10[[#This Row],[Kuuluuko kriteeri kyseisen laitoksen vastattavaksi]]</f>
        <v>Ei kuulu</v>
      </c>
      <c r="B111" t="str">
        <f>Koontitaulukko10[[#This Row],[Extra-kysymys]]</f>
        <v/>
      </c>
      <c r="C111">
        <f>Koontitaulukko10[[#This Row],[Kriteerin kokoluokka]]</f>
        <v>3.4</v>
      </c>
      <c r="D111" t="str">
        <f>Koontitaulukko10[[#This Row],[Kriteerin toimiala]]</f>
        <v>C</v>
      </c>
      <c r="E111" t="str">
        <f>Koontitaulukko10[[#This Row],[Pääkategoria]]</f>
        <v>Kestävä ja kehittyvä</v>
      </c>
      <c r="F111" t="str">
        <f>Koontitaulukko10[[#This Row],[Alakategoria]]</f>
        <v>9. Jätevesien käsittelyn ja johtamisen ympäristökuormitus minimoidaan</v>
      </c>
      <c r="G111" t="str">
        <f>Koontitaulukko10[[#This Row],[Arviointikriteeri]]</f>
        <v xml:space="preserve">9.6 Vesihuoltolaitoksen viemäriverkoston vuotoja mitataan ja seurataan ja vuotavuusprosentti on määritelty soveltuvin osin pumppaamo- ja verkostoalueittain.  </v>
      </c>
      <c r="H111" t="str">
        <f>Koontitaulukko10[[#This Row],[Huoltovarmuus]]</f>
        <v>Ei</v>
      </c>
      <c r="I111" t="str">
        <f>Koontitaulukko10[[#This Row],[Vastaus ]]</f>
        <v/>
      </c>
      <c r="J111">
        <f>Koontitaulukko10[[#This Row],[Vastaajan kokoluokka]]</f>
        <v>0</v>
      </c>
      <c r="K111" t="str">
        <f>Koontitaulukko10[[#This Row],[Vastaajan toimiala]]</f>
        <v/>
      </c>
      <c r="L111" t="str">
        <f>Koontitaulukko10[[#This Row],[Kunta]]</f>
        <v/>
      </c>
      <c r="M111" t="str">
        <f>Koontitaulukko10[[#This Row],[Vesilaitoksen nimi]]</f>
        <v/>
      </c>
      <c r="N111" s="73" t="str">
        <f>Koontitaulukko10[[#This Row],[Vastauspvm]]</f>
        <v/>
      </c>
      <c r="O111" s="73"/>
    </row>
    <row r="112" spans="1:15" x14ac:dyDescent="0.35">
      <c r="A112" t="str">
        <f>Koontitaulukko10[[#This Row],[Kuuluuko kriteeri kyseisen laitoksen vastattavaksi]]</f>
        <v>Ei kuulu</v>
      </c>
      <c r="B112" t="str">
        <f>Koontitaulukko10[[#This Row],[Extra-kysymys]]</f>
        <v/>
      </c>
      <c r="C112">
        <f>Koontitaulukko10[[#This Row],[Kriteerin kokoluokka]]</f>
        <v>3.4</v>
      </c>
      <c r="D112" t="str">
        <f>Koontitaulukko10[[#This Row],[Kriteerin toimiala]]</f>
        <v>C</v>
      </c>
      <c r="E112" t="str">
        <f>Koontitaulukko10[[#This Row],[Pääkategoria]]</f>
        <v>Kestävä ja kehittyvä</v>
      </c>
      <c r="F112" t="str">
        <f>Koontitaulukko10[[#This Row],[Alakategoria]]</f>
        <v>9. Jätevesien käsittelyn ja johtamisen ympäristökuormitus minimoidaan</v>
      </c>
      <c r="G112" t="str">
        <f>Koontitaulukko10[[#This Row],[Arviointikriteeri]]</f>
        <v>9.7 Vesihuoltolaitos on laatinut vuotovesien hallintasuunnitelman ja vuosittaisen investointisuunnitelman vuotovesien vähentämiseksi ja sitä toteutetaan.</v>
      </c>
      <c r="H112" t="str">
        <f>Koontitaulukko10[[#This Row],[Huoltovarmuus]]</f>
        <v>Ei</v>
      </c>
      <c r="I112" t="str">
        <f>Koontitaulukko10[[#This Row],[Vastaus ]]</f>
        <v/>
      </c>
      <c r="J112">
        <f>Koontitaulukko10[[#This Row],[Vastaajan kokoluokka]]</f>
        <v>0</v>
      </c>
      <c r="K112" t="str">
        <f>Koontitaulukko10[[#This Row],[Vastaajan toimiala]]</f>
        <v/>
      </c>
      <c r="L112" t="str">
        <f>Koontitaulukko10[[#This Row],[Kunta]]</f>
        <v/>
      </c>
      <c r="M112" t="str">
        <f>Koontitaulukko10[[#This Row],[Vesilaitoksen nimi]]</f>
        <v/>
      </c>
      <c r="N112" s="73" t="str">
        <f>Koontitaulukko10[[#This Row],[Vastauspvm]]</f>
        <v/>
      </c>
      <c r="O112" s="73"/>
    </row>
    <row r="113" spans="1:15" x14ac:dyDescent="0.35">
      <c r="A113" t="str">
        <f>Koontitaulukko10[[#This Row],[Kuuluuko kriteeri kyseisen laitoksen vastattavaksi]]</f>
        <v>Ei kuulu</v>
      </c>
      <c r="B113" t="str">
        <f>Koontitaulukko10[[#This Row],[Extra-kysymys]]</f>
        <v/>
      </c>
      <c r="C113">
        <f>Koontitaulukko10[[#This Row],[Kriteerin kokoluokka]]</f>
        <v>3.4</v>
      </c>
      <c r="D113" t="str">
        <f>Koontitaulukko10[[#This Row],[Kriteerin toimiala]]</f>
        <v>D</v>
      </c>
      <c r="E113" t="str">
        <f>Koontitaulukko10[[#This Row],[Pääkategoria]]</f>
        <v>Kestävä ja kehittyvä</v>
      </c>
      <c r="F113" t="str">
        <f>Koontitaulukko10[[#This Row],[Alakategoria]]</f>
        <v>9. Jätevesien käsittelyn ja johtamisen ympäristökuormitus minimoidaan</v>
      </c>
      <c r="G113" t="str">
        <f>Koontitaulukko10[[#This Row],[Arviointikriteeri]]</f>
        <v>9.8 Vesihuoltolaitos on liittynyt vesiensuojelusopimukseen (Green Deal), tavoitteena vapaaehtoisesti vähentää kuormitusta alle lupaehtojen.</v>
      </c>
      <c r="H113" t="str">
        <f>Koontitaulukko10[[#This Row],[Huoltovarmuus]]</f>
        <v>Ei</v>
      </c>
      <c r="I113" t="str">
        <f>Koontitaulukko10[[#This Row],[Vastaus ]]</f>
        <v/>
      </c>
      <c r="J113">
        <f>Koontitaulukko10[[#This Row],[Vastaajan kokoluokka]]</f>
        <v>0</v>
      </c>
      <c r="K113" t="str">
        <f>Koontitaulukko10[[#This Row],[Vastaajan toimiala]]</f>
        <v/>
      </c>
      <c r="L113" t="str">
        <f>Koontitaulukko10[[#This Row],[Kunta]]</f>
        <v/>
      </c>
      <c r="M113" t="str">
        <f>Koontitaulukko10[[#This Row],[Vesilaitoksen nimi]]</f>
        <v/>
      </c>
      <c r="N113" s="73" t="str">
        <f>Koontitaulukko10[[#This Row],[Vastauspvm]]</f>
        <v/>
      </c>
      <c r="O113" s="73"/>
    </row>
    <row r="114" spans="1:15" x14ac:dyDescent="0.35">
      <c r="A114" t="str">
        <f>Koontitaulukko10[[#This Row],[Kuuluuko kriteeri kyseisen laitoksen vastattavaksi]]</f>
        <v>Ei kuulu</v>
      </c>
      <c r="B114" t="str">
        <f>Koontitaulukko10[[#This Row],[Extra-kysymys]]</f>
        <v/>
      </c>
      <c r="C114" t="str">
        <f>Koontitaulukko10[[#This Row],[Kriteerin kokoluokka]]</f>
        <v xml:space="preserve">1,2,3,4 </v>
      </c>
      <c r="D114" t="str">
        <f>Koontitaulukko10[[#This Row],[Kriteerin toimiala]]</f>
        <v>A,B,C,D</v>
      </c>
      <c r="E114" t="str">
        <f>Koontitaulukko10[[#This Row],[Pääkategoria]]</f>
        <v>Kestävä ja kehittyvä</v>
      </c>
      <c r="F114" t="str">
        <f>Koontitaulukko10[[#This Row],[Alakategoria]]</f>
        <v>_Otsikkorivi</v>
      </c>
      <c r="G114" t="str">
        <f>Koontitaulukko10[[#This Row],[Arviointikriteeri]]</f>
        <v>10. Kestävä ja energiatehokas</v>
      </c>
      <c r="H114" t="str">
        <f>Koontitaulukko10[[#This Row],[Huoltovarmuus]]</f>
        <v>Ei</v>
      </c>
      <c r="I114" t="str">
        <f>Koontitaulukko10[[#This Row],[Vastaus ]]</f>
        <v/>
      </c>
      <c r="J114">
        <f>Koontitaulukko10[[#This Row],[Vastaajan kokoluokka]]</f>
        <v>0</v>
      </c>
      <c r="K114" t="str">
        <f>Koontitaulukko10[[#This Row],[Vastaajan toimiala]]</f>
        <v/>
      </c>
      <c r="L114" t="str">
        <f>Koontitaulukko10[[#This Row],[Kunta]]</f>
        <v/>
      </c>
      <c r="M114" t="str">
        <f>Koontitaulukko10[[#This Row],[Vesilaitoksen nimi]]</f>
        <v/>
      </c>
      <c r="N114" s="73" t="str">
        <f>Koontitaulukko10[[#This Row],[Vastauspvm]]</f>
        <v/>
      </c>
      <c r="O114" s="73"/>
    </row>
    <row r="115" spans="1:15" hidden="1" x14ac:dyDescent="0.35">
      <c r="A115" t="str">
        <f>Koontitaulukko10[[#This Row],[Kuuluuko kriteeri kyseisen laitoksen vastattavaksi]]</f>
        <v>Ei kuulu</v>
      </c>
      <c r="B115" t="str">
        <f>Koontitaulukko10[[#This Row],[Extra-kysymys]]</f>
        <v/>
      </c>
      <c r="C115">
        <f>Koontitaulukko10[[#This Row],[Kriteerin kokoluokka]]</f>
        <v>1</v>
      </c>
      <c r="D115" t="str">
        <f>Koontitaulukko10[[#This Row],[Kriteerin toimiala]]</f>
        <v>A,B,C,D</v>
      </c>
      <c r="E115" t="str">
        <f>Koontitaulukko10[[#This Row],[Pääkategoria]]</f>
        <v>Kestävä ja kehittyvä</v>
      </c>
      <c r="F115" t="str">
        <f>Koontitaulukko10[[#This Row],[Alakategoria]]</f>
        <v>10. Kestävä ja energiatehokas</v>
      </c>
      <c r="G115" t="str">
        <f>Koontitaulukko10[[#This Row],[Arviointikriteeri]]</f>
        <v xml:space="preserve">10.1 Vesihuoltolaitoksen energiankulutusta seurataan ja siihen kiinnitetään huomiota </v>
      </c>
      <c r="H115" t="str">
        <f>Koontitaulukko10[[#This Row],[Huoltovarmuus]]</f>
        <v>Ei</v>
      </c>
      <c r="I115" t="str">
        <f>Koontitaulukko10[[#This Row],[Vastaus ]]</f>
        <v/>
      </c>
      <c r="J115">
        <f>Koontitaulukko10[[#This Row],[Vastaajan kokoluokka]]</f>
        <v>0</v>
      </c>
      <c r="K115" t="str">
        <f>Koontitaulukko10[[#This Row],[Vastaajan toimiala]]</f>
        <v/>
      </c>
      <c r="L115" t="str">
        <f>Koontitaulukko10[[#This Row],[Kunta]]</f>
        <v/>
      </c>
      <c r="M115" t="str">
        <f>Koontitaulukko10[[#This Row],[Vesilaitoksen nimi]]</f>
        <v/>
      </c>
      <c r="N115" s="73" t="str">
        <f>Koontitaulukko10[[#This Row],[Vastauspvm]]</f>
        <v/>
      </c>
      <c r="O115" s="73"/>
    </row>
    <row r="116" spans="1:15" x14ac:dyDescent="0.35">
      <c r="A116" t="str">
        <f>Koontitaulukko10[[#This Row],[Kuuluuko kriteeri kyseisen laitoksen vastattavaksi]]</f>
        <v>Ei kuulu</v>
      </c>
      <c r="B116" t="str">
        <f>Koontitaulukko10[[#This Row],[Extra-kysymys]]</f>
        <v/>
      </c>
      <c r="C116" t="str">
        <f>Koontitaulukko10[[#This Row],[Kriteerin kokoluokka]]</f>
        <v>2,3,4</v>
      </c>
      <c r="D116" t="str">
        <f>Koontitaulukko10[[#This Row],[Kriteerin toimiala]]</f>
        <v>A,B,C,D</v>
      </c>
      <c r="E116" t="str">
        <f>Koontitaulukko10[[#This Row],[Pääkategoria]]</f>
        <v>Kestävä ja kehittyvä</v>
      </c>
      <c r="F116" t="str">
        <f>Koontitaulukko10[[#This Row],[Alakategoria]]</f>
        <v>10. Kestävä ja energiatehokas</v>
      </c>
      <c r="G116" t="str">
        <f>Koontitaulukko10[[#This Row],[Arviointikriteeri]]</f>
        <v>10.1 Vesihuoltolaitoksen energiankulutusta mitataan ja seura-taan vesihuoltolaitoksella osa-alueittain (esim. pumppaukset tai muut merkittävimmät energiankulutuskohteet).</v>
      </c>
      <c r="H116" t="str">
        <f>Koontitaulukko10[[#This Row],[Huoltovarmuus]]</f>
        <v>Ei</v>
      </c>
      <c r="I116" t="str">
        <f>Koontitaulukko10[[#This Row],[Vastaus ]]</f>
        <v/>
      </c>
      <c r="J116">
        <f>Koontitaulukko10[[#This Row],[Vastaajan kokoluokka]]</f>
        <v>0</v>
      </c>
      <c r="K116" t="str">
        <f>Koontitaulukko10[[#This Row],[Vastaajan toimiala]]</f>
        <v/>
      </c>
      <c r="L116" t="str">
        <f>Koontitaulukko10[[#This Row],[Kunta]]</f>
        <v/>
      </c>
      <c r="M116" t="str">
        <f>Koontitaulukko10[[#This Row],[Vesilaitoksen nimi]]</f>
        <v/>
      </c>
      <c r="N116" s="73" t="str">
        <f>Koontitaulukko10[[#This Row],[Vastauspvm]]</f>
        <v/>
      </c>
      <c r="O116" s="73"/>
    </row>
    <row r="117" spans="1:15" x14ac:dyDescent="0.35">
      <c r="A117" t="str">
        <f>Koontitaulukko10[[#This Row],[Kuuluuko kriteeri kyseisen laitoksen vastattavaksi]]</f>
        <v>Ei kuulu</v>
      </c>
      <c r="B117" t="str">
        <f>Koontitaulukko10[[#This Row],[Extra-kysymys]]</f>
        <v/>
      </c>
      <c r="C117" t="str">
        <f>Koontitaulukko10[[#This Row],[Kriteerin kokoluokka]]</f>
        <v>1,2,3,4</v>
      </c>
      <c r="D117" t="str">
        <f>Koontitaulukko10[[#This Row],[Kriteerin toimiala]]</f>
        <v>A,B,C,D</v>
      </c>
      <c r="E117" t="str">
        <f>Koontitaulukko10[[#This Row],[Pääkategoria]]</f>
        <v>Kestävä ja kehittyvä</v>
      </c>
      <c r="F117" t="str">
        <f>Koontitaulukko10[[#This Row],[Alakategoria]]</f>
        <v>10. Kestävä ja energiatehokas</v>
      </c>
      <c r="G117" t="str">
        <f>Koontitaulukko10[[#This Row],[Arviointikriteeri]]</f>
        <v>10.2 Vesihuoltolaitos tekee systemaattista riskinarviointia ja riskienhallintaa työturvallisuuden osalta sisältäen mm. kemiallisten ja biologisten vaarojen arvioinnin.</v>
      </c>
      <c r="H117" t="str">
        <f>Koontitaulukko10[[#This Row],[Huoltovarmuus]]</f>
        <v>Ei</v>
      </c>
      <c r="I117" t="str">
        <f>Koontitaulukko10[[#This Row],[Vastaus ]]</f>
        <v/>
      </c>
      <c r="J117">
        <f>Koontitaulukko10[[#This Row],[Vastaajan kokoluokka]]</f>
        <v>0</v>
      </c>
      <c r="K117" t="str">
        <f>Koontitaulukko10[[#This Row],[Vastaajan toimiala]]</f>
        <v/>
      </c>
      <c r="L117" t="str">
        <f>Koontitaulukko10[[#This Row],[Kunta]]</f>
        <v/>
      </c>
      <c r="M117" t="str">
        <f>Koontitaulukko10[[#This Row],[Vesilaitoksen nimi]]</f>
        <v/>
      </c>
      <c r="N117" s="73" t="str">
        <f>Koontitaulukko10[[#This Row],[Vastauspvm]]</f>
        <v/>
      </c>
      <c r="O117" s="73"/>
    </row>
    <row r="118" spans="1:15" x14ac:dyDescent="0.35">
      <c r="A118" t="str">
        <f>Koontitaulukko10[[#This Row],[Kuuluuko kriteeri kyseisen laitoksen vastattavaksi]]</f>
        <v>Ei kuulu</v>
      </c>
      <c r="B118" t="str">
        <f>Koontitaulukko10[[#This Row],[Extra-kysymys]]</f>
        <v/>
      </c>
      <c r="C118" t="str">
        <f>Koontitaulukko10[[#This Row],[Kriteerin kokoluokka]]</f>
        <v>2,3,4</v>
      </c>
      <c r="D118" t="str">
        <f>Koontitaulukko10[[#This Row],[Kriteerin toimiala]]</f>
        <v>C</v>
      </c>
      <c r="E118" t="str">
        <f>Koontitaulukko10[[#This Row],[Pääkategoria]]</f>
        <v>Kestävä ja kehittyvä</v>
      </c>
      <c r="F118" t="str">
        <f>Koontitaulukko10[[#This Row],[Alakategoria]]</f>
        <v>10. Kestävä ja energiatehokas</v>
      </c>
      <c r="G118" t="str">
        <f>Koontitaulukko10[[#This Row],[Arviointikriteeri]]</f>
        <v xml:space="preserve">10.3 Vesihuoltolaitoksen toiminta-alueen asukkaille on kohdistettu neuvontaa luvattomien viemäriliitosten poistamiseksi (esimerkiksi huleveden ja/tai perustusten kuivatusveden johtaminen jätevesiviemäriin ilman lupaa). </v>
      </c>
      <c r="H118" t="str">
        <f>Koontitaulukko10[[#This Row],[Huoltovarmuus]]</f>
        <v>Ei</v>
      </c>
      <c r="I118" t="str">
        <f>Koontitaulukko10[[#This Row],[Vastaus ]]</f>
        <v/>
      </c>
      <c r="J118">
        <f>Koontitaulukko10[[#This Row],[Vastaajan kokoluokka]]</f>
        <v>0</v>
      </c>
      <c r="K118" t="str">
        <f>Koontitaulukko10[[#This Row],[Vastaajan toimiala]]</f>
        <v/>
      </c>
      <c r="L118" t="str">
        <f>Koontitaulukko10[[#This Row],[Kunta]]</f>
        <v/>
      </c>
      <c r="M118" t="str">
        <f>Koontitaulukko10[[#This Row],[Vesilaitoksen nimi]]</f>
        <v/>
      </c>
      <c r="N118" s="73" t="str">
        <f>Koontitaulukko10[[#This Row],[Vastauspvm]]</f>
        <v/>
      </c>
      <c r="O118" s="73"/>
    </row>
    <row r="119" spans="1:15" x14ac:dyDescent="0.35">
      <c r="A119" t="str">
        <f>Koontitaulukko10[[#This Row],[Kuuluuko kriteeri kyseisen laitoksen vastattavaksi]]</f>
        <v>Ei kuulu</v>
      </c>
      <c r="B119" t="str">
        <f>Koontitaulukko10[[#This Row],[Extra-kysymys]]</f>
        <v/>
      </c>
      <c r="C119" t="str">
        <f>Koontitaulukko10[[#This Row],[Kriteerin kokoluokka]]</f>
        <v>2,3,4</v>
      </c>
      <c r="D119" t="str">
        <f>Koontitaulukko10[[#This Row],[Kriteerin toimiala]]</f>
        <v>C</v>
      </c>
      <c r="E119" t="str">
        <f>Koontitaulukko10[[#This Row],[Pääkategoria]]</f>
        <v>Kestävä ja kehittyvä</v>
      </c>
      <c r="F119" t="str">
        <f>Koontitaulukko10[[#This Row],[Alakategoria]]</f>
        <v>10. Kestävä ja energiatehokas</v>
      </c>
      <c r="G119" t="str">
        <f>Koontitaulukko10[[#This Row],[Arviointikriteeri]]</f>
        <v>10.4 Taloudelliset ohjauskeinot luvattomien viemäriliitosten poistamiseksi ovat aidosti käytössä eli korotettuja maksuja peritään tarvittaessa.</v>
      </c>
      <c r="H119" t="str">
        <f>Koontitaulukko10[[#This Row],[Huoltovarmuus]]</f>
        <v>Ei</v>
      </c>
      <c r="I119" t="str">
        <f>Koontitaulukko10[[#This Row],[Vastaus ]]</f>
        <v/>
      </c>
      <c r="J119">
        <f>Koontitaulukko10[[#This Row],[Vastaajan kokoluokka]]</f>
        <v>0</v>
      </c>
      <c r="K119" t="str">
        <f>Koontitaulukko10[[#This Row],[Vastaajan toimiala]]</f>
        <v/>
      </c>
      <c r="L119" t="str">
        <f>Koontitaulukko10[[#This Row],[Kunta]]</f>
        <v/>
      </c>
      <c r="M119" t="str">
        <f>Koontitaulukko10[[#This Row],[Vesilaitoksen nimi]]</f>
        <v/>
      </c>
      <c r="N119" s="73" t="str">
        <f>Koontitaulukko10[[#This Row],[Vastauspvm]]</f>
        <v/>
      </c>
      <c r="O119" s="73"/>
    </row>
    <row r="120" spans="1:15" x14ac:dyDescent="0.35">
      <c r="A120" t="str">
        <f>Koontitaulukko10[[#This Row],[Kuuluuko kriteeri kyseisen laitoksen vastattavaksi]]</f>
        <v>Ei kuulu</v>
      </c>
      <c r="B120" t="str">
        <f>Koontitaulukko10[[#This Row],[Extra-kysymys]]</f>
        <v/>
      </c>
      <c r="C120">
        <f>Koontitaulukko10[[#This Row],[Kriteerin kokoluokka]]</f>
        <v>3.4</v>
      </c>
      <c r="D120" t="str">
        <f>Koontitaulukko10[[#This Row],[Kriteerin toimiala]]</f>
        <v>A,B,C,D</v>
      </c>
      <c r="E120" t="str">
        <f>Koontitaulukko10[[#This Row],[Pääkategoria]]</f>
        <v>Kestävä ja kehittyvä</v>
      </c>
      <c r="F120" t="str">
        <f>Koontitaulukko10[[#This Row],[Alakategoria]]</f>
        <v>10. Kestävä ja energiatehokas</v>
      </c>
      <c r="G120" t="str">
        <f>Koontitaulukko10[[#This Row],[Arviointikriteeri]]</f>
        <v>10.5 Vesihuoltolaitos laatii ja julkaisee ympäristötilinpäätöksen vuosittain.</v>
      </c>
      <c r="H120" t="str">
        <f>Koontitaulukko10[[#This Row],[Huoltovarmuus]]</f>
        <v>Ei</v>
      </c>
      <c r="I120" t="str">
        <f>Koontitaulukko10[[#This Row],[Vastaus ]]</f>
        <v/>
      </c>
      <c r="J120">
        <f>Koontitaulukko10[[#This Row],[Vastaajan kokoluokka]]</f>
        <v>0</v>
      </c>
      <c r="K120" t="str">
        <f>Koontitaulukko10[[#This Row],[Vastaajan toimiala]]</f>
        <v/>
      </c>
      <c r="L120" t="str">
        <f>Koontitaulukko10[[#This Row],[Kunta]]</f>
        <v/>
      </c>
      <c r="M120" t="str">
        <f>Koontitaulukko10[[#This Row],[Vesilaitoksen nimi]]</f>
        <v/>
      </c>
      <c r="N120" s="73" t="str">
        <f>Koontitaulukko10[[#This Row],[Vastauspvm]]</f>
        <v/>
      </c>
      <c r="O120" s="73"/>
    </row>
    <row r="121" spans="1:15" x14ac:dyDescent="0.35">
      <c r="A121" t="str">
        <f>Koontitaulukko10[[#This Row],[Kuuluuko kriteeri kyseisen laitoksen vastattavaksi]]</f>
        <v>Ei kuulu</v>
      </c>
      <c r="B121" t="str">
        <f>Koontitaulukko10[[#This Row],[Extra-kysymys]]</f>
        <v/>
      </c>
      <c r="C121">
        <f>Koontitaulukko10[[#This Row],[Kriteerin kokoluokka]]</f>
        <v>3.4</v>
      </c>
      <c r="D121" t="str">
        <f>Koontitaulukko10[[#This Row],[Kriteerin toimiala]]</f>
        <v>A,B,C,D</v>
      </c>
      <c r="E121" t="str">
        <f>Koontitaulukko10[[#This Row],[Pääkategoria]]</f>
        <v>Kestävä ja kehittyvä</v>
      </c>
      <c r="F121" t="str">
        <f>Koontitaulukko10[[#This Row],[Alakategoria]]</f>
        <v>10. Kestävä ja energiatehokas</v>
      </c>
      <c r="G121" t="str">
        <f>Koontitaulukko10[[#This Row],[Arviointikriteeri]]</f>
        <v>10.6 Vesihuoltolaitoksen hiilijalanjälki on laskettu ja tuloksia käytetään toiminnan ohjauksessa.</v>
      </c>
      <c r="H121" t="str">
        <f>Koontitaulukko10[[#This Row],[Huoltovarmuus]]</f>
        <v>Ei</v>
      </c>
      <c r="I121" t="str">
        <f>Koontitaulukko10[[#This Row],[Vastaus ]]</f>
        <v/>
      </c>
      <c r="J121">
        <f>Koontitaulukko10[[#This Row],[Vastaajan kokoluokka]]</f>
        <v>0</v>
      </c>
      <c r="K121" t="str">
        <f>Koontitaulukko10[[#This Row],[Vastaajan toimiala]]</f>
        <v/>
      </c>
      <c r="L121" t="str">
        <f>Koontitaulukko10[[#This Row],[Kunta]]</f>
        <v/>
      </c>
      <c r="M121" t="str">
        <f>Koontitaulukko10[[#This Row],[Vesilaitoksen nimi]]</f>
        <v/>
      </c>
      <c r="N121" s="73" t="str">
        <f>Koontitaulukko10[[#This Row],[Vastauspvm]]</f>
        <v/>
      </c>
      <c r="O121" s="73"/>
    </row>
    <row r="122" spans="1:15" x14ac:dyDescent="0.35">
      <c r="A122" t="str">
        <f>Koontitaulukko10[[#This Row],[Kuuluuko kriteeri kyseisen laitoksen vastattavaksi]]</f>
        <v>Ei kuulu</v>
      </c>
      <c r="B122" t="str">
        <f>Koontitaulukko10[[#This Row],[Extra-kysymys]]</f>
        <v/>
      </c>
      <c r="C122">
        <f>Koontitaulukko10[[#This Row],[Kriteerin kokoluokka]]</f>
        <v>3.4</v>
      </c>
      <c r="D122" t="str">
        <f>Koontitaulukko10[[#This Row],[Kriteerin toimiala]]</f>
        <v>A,B,C,D</v>
      </c>
      <c r="E122" t="str">
        <f>Koontitaulukko10[[#This Row],[Pääkategoria]]</f>
        <v>Kestävä ja kehittyvä</v>
      </c>
      <c r="F122" t="str">
        <f>Koontitaulukko10[[#This Row],[Alakategoria]]</f>
        <v>10. Kestävä ja energiatehokas</v>
      </c>
      <c r="G122" t="str">
        <f>Koontitaulukko10[[#This Row],[Arviointikriteeri]]</f>
        <v>10.7 Vesihuoltolaitoksen energiankulutus on analysoitu, toimenpideohjelma energiatehokkuuden parantamiseksi laadittu ja sitä toteutetaan.</v>
      </c>
      <c r="H122" t="str">
        <f>Koontitaulukko10[[#This Row],[Huoltovarmuus]]</f>
        <v>Ei</v>
      </c>
      <c r="I122" t="str">
        <f>Koontitaulukko10[[#This Row],[Vastaus ]]</f>
        <v/>
      </c>
      <c r="J122">
        <f>Koontitaulukko10[[#This Row],[Vastaajan kokoluokka]]</f>
        <v>0</v>
      </c>
      <c r="K122" t="str">
        <f>Koontitaulukko10[[#This Row],[Vastaajan toimiala]]</f>
        <v/>
      </c>
      <c r="L122" t="str">
        <f>Koontitaulukko10[[#This Row],[Kunta]]</f>
        <v/>
      </c>
      <c r="M122" t="str">
        <f>Koontitaulukko10[[#This Row],[Vesilaitoksen nimi]]</f>
        <v/>
      </c>
      <c r="N122" s="73" t="str">
        <f>Koontitaulukko10[[#This Row],[Vastauspvm]]</f>
        <v/>
      </c>
      <c r="O122" s="73"/>
    </row>
    <row r="123" spans="1:15" x14ac:dyDescent="0.35">
      <c r="A123" t="str">
        <f>Koontitaulukko10[[#This Row],[Kuuluuko kriteeri kyseisen laitoksen vastattavaksi]]</f>
        <v>Ei kuulu</v>
      </c>
      <c r="B123" t="str">
        <f>Koontitaulukko10[[#This Row],[Extra-kysymys]]</f>
        <v/>
      </c>
      <c r="C123">
        <f>Koontitaulukko10[[#This Row],[Kriteerin kokoluokka]]</f>
        <v>4</v>
      </c>
      <c r="D123" t="str">
        <f>Koontitaulukko10[[#This Row],[Kriteerin toimiala]]</f>
        <v>D</v>
      </c>
      <c r="E123" t="str">
        <f>Koontitaulukko10[[#This Row],[Pääkategoria]]</f>
        <v>Kestävä ja kehittyvä</v>
      </c>
      <c r="F123" t="str">
        <f>Koontitaulukko10[[#This Row],[Alakategoria]]</f>
        <v>10. Kestävä ja energiatehokas</v>
      </c>
      <c r="G123" t="str">
        <f>Koontitaulukko10[[#This Row],[Arviointikriteeri]]</f>
        <v xml:space="preserve">10.8 Jätevedenpuhdistamolla hyödynnetään hukkalämpöä. </v>
      </c>
      <c r="H123" t="str">
        <f>Koontitaulukko10[[#This Row],[Huoltovarmuus]]</f>
        <v>Ei</v>
      </c>
      <c r="I123" t="str">
        <f>Koontitaulukko10[[#This Row],[Vastaus ]]</f>
        <v/>
      </c>
      <c r="J123">
        <f>Koontitaulukko10[[#This Row],[Vastaajan kokoluokka]]</f>
        <v>0</v>
      </c>
      <c r="K123" t="str">
        <f>Koontitaulukko10[[#This Row],[Vastaajan toimiala]]</f>
        <v/>
      </c>
      <c r="L123" t="str">
        <f>Koontitaulukko10[[#This Row],[Kunta]]</f>
        <v/>
      </c>
      <c r="M123" t="str">
        <f>Koontitaulukko10[[#This Row],[Vesilaitoksen nimi]]</f>
        <v/>
      </c>
      <c r="N123" s="73" t="str">
        <f>Koontitaulukko10[[#This Row],[Vastauspvm]]</f>
        <v/>
      </c>
      <c r="O123" s="73"/>
    </row>
    <row r="124" spans="1:15" x14ac:dyDescent="0.35">
      <c r="A124" t="str">
        <f>Koontitaulukko10[[#This Row],[Kuuluuko kriteeri kyseisen laitoksen vastattavaksi]]</f>
        <v>Ei kuulu</v>
      </c>
      <c r="B124" t="str">
        <f>Koontitaulukko10[[#This Row],[Extra-kysymys]]</f>
        <v/>
      </c>
      <c r="C124">
        <f>Koontitaulukko10[[#This Row],[Kriteerin kokoluokka]]</f>
        <v>5</v>
      </c>
      <c r="D124" t="str">
        <f>Koontitaulukko10[[#This Row],[Kriteerin toimiala]]</f>
        <v>A,B,C,D</v>
      </c>
      <c r="E124" t="str">
        <f>Koontitaulukko10[[#This Row],[Pääkategoria]]</f>
        <v>Kestävä ja kehittyvä</v>
      </c>
      <c r="F124" t="str">
        <f>Koontitaulukko10[[#This Row],[Alakategoria]]</f>
        <v>10. Kestävä ja energiatehokas</v>
      </c>
      <c r="G124" t="str">
        <f>Koontitaulukko10[[#This Row],[Arviointikriteeri]]</f>
        <v>10.9 Vesilaitoksen toiminnassa on järjestelmällisesti otettu huomioon ympäristö-, talous- ja sosiaalinen vastuu.</v>
      </c>
      <c r="H124" t="str">
        <f>Koontitaulukko10[[#This Row],[Huoltovarmuus]]</f>
        <v>Ei</v>
      </c>
      <c r="I124" t="str">
        <f>Koontitaulukko10[[#This Row],[Vastaus ]]</f>
        <v/>
      </c>
      <c r="J124">
        <f>Koontitaulukko10[[#This Row],[Vastaajan kokoluokka]]</f>
        <v>0</v>
      </c>
      <c r="K124" t="str">
        <f>Koontitaulukko10[[#This Row],[Vastaajan toimiala]]</f>
        <v/>
      </c>
      <c r="L124" t="str">
        <f>Koontitaulukko10[[#This Row],[Kunta]]</f>
        <v/>
      </c>
      <c r="M124" t="str">
        <f>Koontitaulukko10[[#This Row],[Vesilaitoksen nimi]]</f>
        <v/>
      </c>
      <c r="N124" s="73" t="str">
        <f>Koontitaulukko10[[#This Row],[Vastauspvm]]</f>
        <v/>
      </c>
      <c r="O124" s="73"/>
    </row>
    <row r="125" spans="1:15" x14ac:dyDescent="0.35">
      <c r="A125" t="str">
        <f>Koontitaulukko10[[#This Row],[Kuuluuko kriteeri kyseisen laitoksen vastattavaksi]]</f>
        <v>Ei kuulu</v>
      </c>
      <c r="B125" t="str">
        <f>Koontitaulukko10[[#This Row],[Extra-kysymys]]</f>
        <v/>
      </c>
      <c r="C125">
        <f>Koontitaulukko10[[#This Row],[Kriteerin kokoluokka]]</f>
        <v>5</v>
      </c>
      <c r="D125" t="str">
        <f>Koontitaulukko10[[#This Row],[Kriteerin toimiala]]</f>
        <v>A,B,C,D</v>
      </c>
      <c r="E125" t="str">
        <f>Koontitaulukko10[[#This Row],[Pääkategoria]]</f>
        <v>Kestävä ja kehittyvä</v>
      </c>
      <c r="F125" t="str">
        <f>Koontitaulukko10[[#This Row],[Alakategoria]]</f>
        <v>10. Kestävä ja energiatehokas</v>
      </c>
      <c r="G125" t="str">
        <f>Koontitaulukko10[[#This Row],[Arviointikriteeri]]</f>
        <v>10.10 Vesihuoltolaitoksen energiantuottopotentiaali on kartoitettu ja laitoksella on tavoitearvo energiaomavaraisuudelle.</v>
      </c>
      <c r="H125" t="str">
        <f>Koontitaulukko10[[#This Row],[Huoltovarmuus]]</f>
        <v>Ei</v>
      </c>
      <c r="I125" t="str">
        <f>Koontitaulukko10[[#This Row],[Vastaus ]]</f>
        <v/>
      </c>
      <c r="J125">
        <f>Koontitaulukko10[[#This Row],[Vastaajan kokoluokka]]</f>
        <v>0</v>
      </c>
      <c r="K125" t="str">
        <f>Koontitaulukko10[[#This Row],[Vastaajan toimiala]]</f>
        <v/>
      </c>
      <c r="L125" t="str">
        <f>Koontitaulukko10[[#This Row],[Kunta]]</f>
        <v/>
      </c>
      <c r="M125" t="str">
        <f>Koontitaulukko10[[#This Row],[Vesilaitoksen nimi]]</f>
        <v/>
      </c>
      <c r="N125" s="73" t="str">
        <f>Koontitaulukko10[[#This Row],[Vastauspvm]]</f>
        <v/>
      </c>
      <c r="O125" s="73"/>
    </row>
    <row r="126" spans="1:15" x14ac:dyDescent="0.35">
      <c r="A126" t="str">
        <f>Koontitaulukko10[[#This Row],[Kuuluuko kriteeri kyseisen laitoksen vastattavaksi]]</f>
        <v>Ei kuulu</v>
      </c>
      <c r="B126" t="str">
        <f>Koontitaulukko10[[#This Row],[Extra-kysymys]]</f>
        <v/>
      </c>
      <c r="C126">
        <f>Koontitaulukko10[[#This Row],[Kriteerin kokoluokka]]</f>
        <v>5</v>
      </c>
      <c r="D126" t="str">
        <f>Koontitaulukko10[[#This Row],[Kriteerin toimiala]]</f>
        <v>A,B,C,D</v>
      </c>
      <c r="E126" t="str">
        <f>Koontitaulukko10[[#This Row],[Pääkategoria]]</f>
        <v>Kestävä ja kehittyvä</v>
      </c>
      <c r="F126" t="str">
        <f>Koontitaulukko10[[#This Row],[Alakategoria]]</f>
        <v>10. Kestävä ja energiatehokas</v>
      </c>
      <c r="G126" t="str">
        <f>Koontitaulukko10[[#This Row],[Arviointikriteeri]]</f>
        <v xml:space="preserve">10.12 Hiilineutraalisuudelle on asetettu tavoite ja toimenpidesuunnitelma sen saavuttamiseksi </v>
      </c>
      <c r="H126" t="str">
        <f>Koontitaulukko10[[#This Row],[Huoltovarmuus]]</f>
        <v>Ei</v>
      </c>
      <c r="I126" t="str">
        <f>Koontitaulukko10[[#This Row],[Vastaus ]]</f>
        <v/>
      </c>
      <c r="J126">
        <f>Koontitaulukko10[[#This Row],[Vastaajan kokoluokka]]</f>
        <v>0</v>
      </c>
      <c r="K126" t="str">
        <f>Koontitaulukko10[[#This Row],[Vastaajan toimiala]]</f>
        <v/>
      </c>
      <c r="L126" t="str">
        <f>Koontitaulukko10[[#This Row],[Kunta]]</f>
        <v/>
      </c>
      <c r="M126" t="str">
        <f>Koontitaulukko10[[#This Row],[Vesilaitoksen nimi]]</f>
        <v/>
      </c>
      <c r="N126" s="73" t="str">
        <f>Koontitaulukko10[[#This Row],[Vastauspvm]]</f>
        <v/>
      </c>
      <c r="O126" s="73"/>
    </row>
    <row r="127" spans="1:15" x14ac:dyDescent="0.35">
      <c r="A127" t="str">
        <f>Koontitaulukko10[[#This Row],[Kuuluuko kriteeri kyseisen laitoksen vastattavaksi]]</f>
        <v>Ei kuulu</v>
      </c>
      <c r="B127" t="str">
        <f>Koontitaulukko10[[#This Row],[Extra-kysymys]]</f>
        <v/>
      </c>
      <c r="C127" t="str">
        <f>Koontitaulukko10[[#This Row],[Kriteerin kokoluokka]]</f>
        <v xml:space="preserve">1,2,3,4 </v>
      </c>
      <c r="D127" t="str">
        <f>Koontitaulukko10[[#This Row],[Kriteerin toimiala]]</f>
        <v>A,B,C,D</v>
      </c>
      <c r="E127" t="str">
        <f>Koontitaulukko10[[#This Row],[Pääkategoria]]</f>
        <v>Kestävä ja kehittyvä</v>
      </c>
      <c r="F127" t="str">
        <f>Koontitaulukko10[[#This Row],[Alakategoria]]</f>
        <v>_Otsikkorivi</v>
      </c>
      <c r="G127" t="str">
        <f>Koontitaulukko10[[#This Row],[Arviointikriteeri]]</f>
        <v>11. Asiakaspalvelu ja viestintä on suunniteltua ja läpinäkyvää</v>
      </c>
      <c r="H127" t="str">
        <f>Koontitaulukko10[[#This Row],[Huoltovarmuus]]</f>
        <v>Ei</v>
      </c>
      <c r="I127" t="str">
        <f>Koontitaulukko10[[#This Row],[Vastaus ]]</f>
        <v/>
      </c>
      <c r="J127">
        <f>Koontitaulukko10[[#This Row],[Vastaajan kokoluokka]]</f>
        <v>0</v>
      </c>
      <c r="K127" t="str">
        <f>Koontitaulukko10[[#This Row],[Vastaajan toimiala]]</f>
        <v/>
      </c>
      <c r="L127" t="str">
        <f>Koontitaulukko10[[#This Row],[Kunta]]</f>
        <v/>
      </c>
      <c r="M127" t="str">
        <f>Koontitaulukko10[[#This Row],[Vesilaitoksen nimi]]</f>
        <v/>
      </c>
      <c r="N127" s="73" t="str">
        <f>Koontitaulukko10[[#This Row],[Vastauspvm]]</f>
        <v/>
      </c>
      <c r="O127" s="73"/>
    </row>
    <row r="128" spans="1:15" hidden="1" x14ac:dyDescent="0.35">
      <c r="A128" t="str">
        <f>Koontitaulukko10[[#This Row],[Kuuluuko kriteeri kyseisen laitoksen vastattavaksi]]</f>
        <v>Ei kuulu</v>
      </c>
      <c r="B128" t="str">
        <f>Koontitaulukko10[[#This Row],[Extra-kysymys]]</f>
        <v/>
      </c>
      <c r="C128" t="str">
        <f>Koontitaulukko10[[#This Row],[Kriteerin kokoluokka]]</f>
        <v>1,2,3,4</v>
      </c>
      <c r="D128" t="str">
        <f>Koontitaulukko10[[#This Row],[Kriteerin toimiala]]</f>
        <v>B,C</v>
      </c>
      <c r="E128" t="str">
        <f>Koontitaulukko10[[#This Row],[Pääkategoria]]</f>
        <v>Kestävä ja kehittyvä</v>
      </c>
      <c r="F128" t="str">
        <f>Koontitaulukko10[[#This Row],[Alakategoria]]</f>
        <v>11. Asiakaspalvelu ja viestintä on suunniteltua ja läpinäkyvää</v>
      </c>
      <c r="G128" t="str">
        <f>Koontitaulukko10[[#This Row],[Arviointikriteeri]]</f>
        <v>11.1 Säännöllinen asiakasviestintä esim. www-sivuilla, laskun/mittarilukemakortin yhteydessä tai asiakaslehdellä</v>
      </c>
      <c r="H128" t="str">
        <f>Koontitaulukko10[[#This Row],[Huoltovarmuus]]</f>
        <v>Ei</v>
      </c>
      <c r="I128" t="str">
        <f>Koontitaulukko10[[#This Row],[Vastaus ]]</f>
        <v/>
      </c>
      <c r="J128">
        <f>Koontitaulukko10[[#This Row],[Vastaajan kokoluokka]]</f>
        <v>0</v>
      </c>
      <c r="K128" t="str">
        <f>Koontitaulukko10[[#This Row],[Vastaajan toimiala]]</f>
        <v/>
      </c>
      <c r="L128" t="str">
        <f>Koontitaulukko10[[#This Row],[Kunta]]</f>
        <v/>
      </c>
      <c r="M128" t="str">
        <f>Koontitaulukko10[[#This Row],[Vesilaitoksen nimi]]</f>
        <v/>
      </c>
      <c r="N128" s="73" t="str">
        <f>Koontitaulukko10[[#This Row],[Vastauspvm]]</f>
        <v/>
      </c>
      <c r="O128" s="73"/>
    </row>
    <row r="129" spans="1:15" x14ac:dyDescent="0.35">
      <c r="A129" t="str">
        <f>Koontitaulukko10[[#This Row],[Kuuluuko kriteeri kyseisen laitoksen vastattavaksi]]</f>
        <v>Ei kuulu</v>
      </c>
      <c r="B129" t="str">
        <f>Koontitaulukko10[[#This Row],[Extra-kysymys]]</f>
        <v/>
      </c>
      <c r="C129" t="str">
        <f>Koontitaulukko10[[#This Row],[Kriteerin kokoluokka]]</f>
        <v>1,2,3,4</v>
      </c>
      <c r="D129" t="str">
        <f>Koontitaulukko10[[#This Row],[Kriteerin toimiala]]</f>
        <v>A,B,C,D</v>
      </c>
      <c r="E129" t="str">
        <f>Koontitaulukko10[[#This Row],[Pääkategoria]]</f>
        <v>Kestävä ja kehittyvä</v>
      </c>
      <c r="F129" t="str">
        <f>Koontitaulukko10[[#This Row],[Alakategoria]]</f>
        <v>11. Asiakaspalvelu ja viestintä on suunniteltua ja läpinäkyvää</v>
      </c>
      <c r="G129" t="str">
        <f>Koontitaulukko10[[#This Row],[Arviointikriteeri]]</f>
        <v>11.2 Toimintakertomus ja tilinpäätös julkaistaan vuosittain</v>
      </c>
      <c r="H129" t="str">
        <f>Koontitaulukko10[[#This Row],[Huoltovarmuus]]</f>
        <v>Ei</v>
      </c>
      <c r="I129" t="str">
        <f>Koontitaulukko10[[#This Row],[Vastaus ]]</f>
        <v/>
      </c>
      <c r="J129">
        <f>Koontitaulukko10[[#This Row],[Vastaajan kokoluokka]]</f>
        <v>0</v>
      </c>
      <c r="K129" t="str">
        <f>Koontitaulukko10[[#This Row],[Vastaajan toimiala]]</f>
        <v/>
      </c>
      <c r="L129" t="str">
        <f>Koontitaulukko10[[#This Row],[Kunta]]</f>
        <v/>
      </c>
      <c r="M129" t="str">
        <f>Koontitaulukko10[[#This Row],[Vesilaitoksen nimi]]</f>
        <v/>
      </c>
      <c r="N129" s="73" t="str">
        <f>Koontitaulukko10[[#This Row],[Vastauspvm]]</f>
        <v/>
      </c>
      <c r="O129" s="73"/>
    </row>
    <row r="130" spans="1:15" x14ac:dyDescent="0.35">
      <c r="A130" t="str">
        <f>Koontitaulukko10[[#This Row],[Kuuluuko kriteeri kyseisen laitoksen vastattavaksi]]</f>
        <v>Ei kuulu</v>
      </c>
      <c r="B130" t="str">
        <f>Koontitaulukko10[[#This Row],[Extra-kysymys]]</f>
        <v/>
      </c>
      <c r="C130" t="str">
        <f>Koontitaulukko10[[#This Row],[Kriteerin kokoluokka]]</f>
        <v>1,2,3,4</v>
      </c>
      <c r="D130" t="str">
        <f>Koontitaulukko10[[#This Row],[Kriteerin toimiala]]</f>
        <v>B,C</v>
      </c>
      <c r="E130" t="str">
        <f>Koontitaulukko10[[#This Row],[Pääkategoria]]</f>
        <v>Kestävä ja kehittyvä</v>
      </c>
      <c r="F130" t="str">
        <f>Koontitaulukko10[[#This Row],[Alakategoria]]</f>
        <v>11. Asiakaspalvelu ja viestintä on suunniteltua ja läpinäkyvää</v>
      </c>
      <c r="G130" t="str">
        <f>Koontitaulukko10[[#This Row],[Arviointikriteeri]]</f>
        <v>11.3 Asiakaspalaute kirjataan ylös</v>
      </c>
      <c r="H130" t="str">
        <f>Koontitaulukko10[[#This Row],[Huoltovarmuus]]</f>
        <v>Ei</v>
      </c>
      <c r="I130" t="str">
        <f>Koontitaulukko10[[#This Row],[Vastaus ]]</f>
        <v/>
      </c>
      <c r="J130">
        <f>Koontitaulukko10[[#This Row],[Vastaajan kokoluokka]]</f>
        <v>0</v>
      </c>
      <c r="K130" t="str">
        <f>Koontitaulukko10[[#This Row],[Vastaajan toimiala]]</f>
        <v/>
      </c>
      <c r="L130" t="str">
        <f>Koontitaulukko10[[#This Row],[Kunta]]</f>
        <v/>
      </c>
      <c r="M130" t="str">
        <f>Koontitaulukko10[[#This Row],[Vesilaitoksen nimi]]</f>
        <v/>
      </c>
      <c r="N130" s="73" t="str">
        <f>Koontitaulukko10[[#This Row],[Vastauspvm]]</f>
        <v/>
      </c>
      <c r="O130" s="73"/>
    </row>
    <row r="131" spans="1:15" x14ac:dyDescent="0.35">
      <c r="A131" t="str">
        <f>Koontitaulukko10[[#This Row],[Kuuluuko kriteeri kyseisen laitoksen vastattavaksi]]</f>
        <v>Ei kuulu</v>
      </c>
      <c r="B131" t="str">
        <f>Koontitaulukko10[[#This Row],[Extra-kysymys]]</f>
        <v/>
      </c>
      <c r="C131" t="str">
        <f>Koontitaulukko10[[#This Row],[Kriteerin kokoluokka]]</f>
        <v>2,3,4</v>
      </c>
      <c r="D131" t="str">
        <f>Koontitaulukko10[[#This Row],[Kriteerin toimiala]]</f>
        <v>B,C</v>
      </c>
      <c r="E131" t="str">
        <f>Koontitaulukko10[[#This Row],[Pääkategoria]]</f>
        <v>Kestävä ja kehittyvä</v>
      </c>
      <c r="F131" t="str">
        <f>Koontitaulukko10[[#This Row],[Alakategoria]]</f>
        <v>11. Asiakaspalvelu ja viestintä on suunniteltua ja läpinäkyvää</v>
      </c>
      <c r="G131" t="str">
        <f>Koontitaulukko10[[#This Row],[Arviointikriteeri]]</f>
        <v>11.4 Asiakastietojärjestelmä mahdollistaa sähköiset asiakaspalvelut</v>
      </c>
      <c r="H131" t="str">
        <f>Koontitaulukko10[[#This Row],[Huoltovarmuus]]</f>
        <v>Ei</v>
      </c>
      <c r="I131" t="str">
        <f>Koontitaulukko10[[#This Row],[Vastaus ]]</f>
        <v/>
      </c>
      <c r="J131">
        <f>Koontitaulukko10[[#This Row],[Vastaajan kokoluokka]]</f>
        <v>0</v>
      </c>
      <c r="K131" t="str">
        <f>Koontitaulukko10[[#This Row],[Vastaajan toimiala]]</f>
        <v/>
      </c>
      <c r="L131" t="str">
        <f>Koontitaulukko10[[#This Row],[Kunta]]</f>
        <v/>
      </c>
      <c r="M131" t="str">
        <f>Koontitaulukko10[[#This Row],[Vesilaitoksen nimi]]</f>
        <v/>
      </c>
      <c r="N131" s="73" t="str">
        <f>Koontitaulukko10[[#This Row],[Vastauspvm]]</f>
        <v/>
      </c>
      <c r="O131" s="73"/>
    </row>
    <row r="132" spans="1:15" x14ac:dyDescent="0.35">
      <c r="A132" t="str">
        <f>Koontitaulukko10[[#This Row],[Kuuluuko kriteeri kyseisen laitoksen vastattavaksi]]</f>
        <v>Ei kuulu</v>
      </c>
      <c r="B132" t="str">
        <f>Koontitaulukko10[[#This Row],[Extra-kysymys]]</f>
        <v/>
      </c>
      <c r="C132" t="str">
        <f>Koontitaulukko10[[#This Row],[Kriteerin kokoluokka]]</f>
        <v>2,3,4</v>
      </c>
      <c r="D132" t="str">
        <f>Koontitaulukko10[[#This Row],[Kriteerin toimiala]]</f>
        <v>B,C</v>
      </c>
      <c r="E132" t="str">
        <f>Koontitaulukko10[[#This Row],[Pääkategoria]]</f>
        <v>Kestävä ja kehittyvä</v>
      </c>
      <c r="F132" t="str">
        <f>Koontitaulukko10[[#This Row],[Alakategoria]]</f>
        <v>11. Asiakaspalvelu ja viestintä on suunniteltua ja läpinäkyvää</v>
      </c>
      <c r="G132" t="str">
        <f>Koontitaulukko10[[#This Row],[Arviointikriteeri]]</f>
        <v>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v>
      </c>
      <c r="H132" t="str">
        <f>Koontitaulukko10[[#This Row],[Huoltovarmuus]]</f>
        <v>Ei</v>
      </c>
      <c r="I132" t="str">
        <f>Koontitaulukko10[[#This Row],[Vastaus ]]</f>
        <v/>
      </c>
      <c r="J132">
        <f>Koontitaulukko10[[#This Row],[Vastaajan kokoluokka]]</f>
        <v>0</v>
      </c>
      <c r="K132" t="str">
        <f>Koontitaulukko10[[#This Row],[Vastaajan toimiala]]</f>
        <v/>
      </c>
      <c r="L132" t="str">
        <f>Koontitaulukko10[[#This Row],[Kunta]]</f>
        <v/>
      </c>
      <c r="M132" t="str">
        <f>Koontitaulukko10[[#This Row],[Vesilaitoksen nimi]]</f>
        <v/>
      </c>
      <c r="N132" s="73" t="str">
        <f>Koontitaulukko10[[#This Row],[Vastauspvm]]</f>
        <v/>
      </c>
      <c r="O132" s="73"/>
    </row>
    <row r="133" spans="1:15" x14ac:dyDescent="0.35">
      <c r="A133" t="str">
        <f>Koontitaulukko10[[#This Row],[Kuuluuko kriteeri kyseisen laitoksen vastattavaksi]]</f>
        <v>Ei kuulu</v>
      </c>
      <c r="B133" t="str">
        <f>Koontitaulukko10[[#This Row],[Extra-kysymys]]</f>
        <v/>
      </c>
      <c r="C133">
        <f>Koontitaulukko10[[#This Row],[Kriteerin kokoluokka]]</f>
        <v>2</v>
      </c>
      <c r="D133" t="str">
        <f>Koontitaulukko10[[#This Row],[Kriteerin toimiala]]</f>
        <v>B,C</v>
      </c>
      <c r="E133" t="str">
        <f>Koontitaulukko10[[#This Row],[Pääkategoria]]</f>
        <v>Kestävä ja kehittyvä</v>
      </c>
      <c r="F133" t="str">
        <f>Koontitaulukko10[[#This Row],[Alakategoria]]</f>
        <v>11. Asiakaspalvelu ja viestintä on suunniteltua ja läpinäkyvää</v>
      </c>
      <c r="G133" t="str">
        <f>Koontitaulukko10[[#This Row],[Arviointikriteeri]]</f>
        <v>11.6 Laitos tekee asiakastyytyväisyyskyselyn 2-4 vuoden välein.</v>
      </c>
      <c r="H133" t="str">
        <f>Koontitaulukko10[[#This Row],[Huoltovarmuus]]</f>
        <v>Ei</v>
      </c>
      <c r="I133" t="str">
        <f>Koontitaulukko10[[#This Row],[Vastaus ]]</f>
        <v/>
      </c>
      <c r="J133">
        <f>Koontitaulukko10[[#This Row],[Vastaajan kokoluokka]]</f>
        <v>0</v>
      </c>
      <c r="K133" t="str">
        <f>Koontitaulukko10[[#This Row],[Vastaajan toimiala]]</f>
        <v/>
      </c>
      <c r="L133" t="str">
        <f>Koontitaulukko10[[#This Row],[Kunta]]</f>
        <v/>
      </c>
      <c r="M133" t="str">
        <f>Koontitaulukko10[[#This Row],[Vesilaitoksen nimi]]</f>
        <v/>
      </c>
      <c r="N133" s="73" t="str">
        <f>Koontitaulukko10[[#This Row],[Vastauspvm]]</f>
        <v/>
      </c>
      <c r="O133" s="73"/>
    </row>
    <row r="134" spans="1:15" x14ac:dyDescent="0.35">
      <c r="A134" t="str">
        <f>Koontitaulukko10[[#This Row],[Kuuluuko kriteeri kyseisen laitoksen vastattavaksi]]</f>
        <v>Ei kuulu</v>
      </c>
      <c r="B134" t="str">
        <f>Koontitaulukko10[[#This Row],[Extra-kysymys]]</f>
        <v/>
      </c>
      <c r="C134">
        <f>Koontitaulukko10[[#This Row],[Kriteerin kokoluokka]]</f>
        <v>3</v>
      </c>
      <c r="D134" t="str">
        <f>Koontitaulukko10[[#This Row],[Kriteerin toimiala]]</f>
        <v>B,C</v>
      </c>
      <c r="E134" t="str">
        <f>Koontitaulukko10[[#This Row],[Pääkategoria]]</f>
        <v>Kestävä ja kehittyvä</v>
      </c>
      <c r="F134" t="str">
        <f>Koontitaulukko10[[#This Row],[Alakategoria]]</f>
        <v>11. Asiakaspalvelu ja viestintä on suunniteltua ja läpinäkyvää</v>
      </c>
      <c r="G134" t="str">
        <f>Koontitaulukko10[[#This Row],[Arviointikriteeri]]</f>
        <v>11.6 Laitos tekee asiakastyytyväisyyskyselyn 1-2 vuoden välein</v>
      </c>
      <c r="H134" t="str">
        <f>Koontitaulukko10[[#This Row],[Huoltovarmuus]]</f>
        <v>Ei</v>
      </c>
      <c r="I134" t="str">
        <f>Koontitaulukko10[[#This Row],[Vastaus ]]</f>
        <v/>
      </c>
      <c r="J134">
        <f>Koontitaulukko10[[#This Row],[Vastaajan kokoluokka]]</f>
        <v>0</v>
      </c>
      <c r="K134" t="str">
        <f>Koontitaulukko10[[#This Row],[Vastaajan toimiala]]</f>
        <v/>
      </c>
      <c r="L134" t="str">
        <f>Koontitaulukko10[[#This Row],[Kunta]]</f>
        <v/>
      </c>
      <c r="M134" t="str">
        <f>Koontitaulukko10[[#This Row],[Vesilaitoksen nimi]]</f>
        <v/>
      </c>
      <c r="N134" s="73" t="str">
        <f>Koontitaulukko10[[#This Row],[Vastauspvm]]</f>
        <v/>
      </c>
      <c r="O134" s="73"/>
    </row>
    <row r="135" spans="1:15" x14ac:dyDescent="0.35">
      <c r="A135" t="str">
        <f>Koontitaulukko10[[#This Row],[Kuuluuko kriteeri kyseisen laitoksen vastattavaksi]]</f>
        <v>Ei kuulu</v>
      </c>
      <c r="B135" t="str">
        <f>Koontitaulukko10[[#This Row],[Extra-kysymys]]</f>
        <v/>
      </c>
      <c r="C135">
        <f>Koontitaulukko10[[#This Row],[Kriteerin kokoluokka]]</f>
        <v>4</v>
      </c>
      <c r="D135" t="str">
        <f>Koontitaulukko10[[#This Row],[Kriteerin toimiala]]</f>
        <v>B,C</v>
      </c>
      <c r="E135" t="str">
        <f>Koontitaulukko10[[#This Row],[Pääkategoria]]</f>
        <v>Kestävä ja kehittyvä</v>
      </c>
      <c r="F135" t="str">
        <f>Koontitaulukko10[[#This Row],[Alakategoria]]</f>
        <v>11. Asiakaspalvelu ja viestintä on suunniteltua ja läpinäkyvää</v>
      </c>
      <c r="G135" t="str">
        <f>Koontitaulukko10[[#This Row],[Arviointikriteeri]]</f>
        <v>11.6 Laitos tekee asiakastyytyväisyyskyselyn vuosittain.</v>
      </c>
      <c r="H135" t="str">
        <f>Koontitaulukko10[[#This Row],[Huoltovarmuus]]</f>
        <v>Ei</v>
      </c>
      <c r="I135" t="str">
        <f>Koontitaulukko10[[#This Row],[Vastaus ]]</f>
        <v/>
      </c>
      <c r="J135">
        <f>Koontitaulukko10[[#This Row],[Vastaajan kokoluokka]]</f>
        <v>0</v>
      </c>
      <c r="K135" t="str">
        <f>Koontitaulukko10[[#This Row],[Vastaajan toimiala]]</f>
        <v/>
      </c>
      <c r="L135" t="str">
        <f>Koontitaulukko10[[#This Row],[Kunta]]</f>
        <v/>
      </c>
      <c r="M135" t="str">
        <f>Koontitaulukko10[[#This Row],[Vesilaitoksen nimi]]</f>
        <v/>
      </c>
      <c r="N135" s="73" t="str">
        <f>Koontitaulukko10[[#This Row],[Vastauspvm]]</f>
        <v/>
      </c>
      <c r="O135" s="73"/>
    </row>
    <row r="136" spans="1:15" x14ac:dyDescent="0.35">
      <c r="A136" t="str">
        <f>Koontitaulukko10[[#This Row],[Kuuluuko kriteeri kyseisen laitoksen vastattavaksi]]</f>
        <v>Ei kuulu</v>
      </c>
      <c r="B136" t="str">
        <f>Koontitaulukko10[[#This Row],[Extra-kysymys]]</f>
        <v/>
      </c>
      <c r="C136">
        <f>Koontitaulukko10[[#This Row],[Kriteerin kokoluokka]]</f>
        <v>3.4</v>
      </c>
      <c r="D136" t="str">
        <f>Koontitaulukko10[[#This Row],[Kriteerin toimiala]]</f>
        <v>B,C</v>
      </c>
      <c r="E136" t="str">
        <f>Koontitaulukko10[[#This Row],[Pääkategoria]]</f>
        <v>Kestävä ja kehittyvä</v>
      </c>
      <c r="F136" t="str">
        <f>Koontitaulukko10[[#This Row],[Alakategoria]]</f>
        <v>11. Asiakaspalvelu ja viestintä on suunniteltua ja läpinäkyvää</v>
      </c>
      <c r="G136" t="str">
        <f>Koontitaulukko10[[#This Row],[Arviointikriteeri]]</f>
        <v>11.7 Asiakasvalituksiin vastaamiseen on asetettu tavoiteaika.</v>
      </c>
      <c r="H136" t="str">
        <f>Koontitaulukko10[[#This Row],[Huoltovarmuus]]</f>
        <v>Ei</v>
      </c>
      <c r="I136" t="str">
        <f>Koontitaulukko10[[#This Row],[Vastaus ]]</f>
        <v/>
      </c>
      <c r="J136">
        <f>Koontitaulukko10[[#This Row],[Vastaajan kokoluokka]]</f>
        <v>0</v>
      </c>
      <c r="K136" t="str">
        <f>Koontitaulukko10[[#This Row],[Vastaajan toimiala]]</f>
        <v/>
      </c>
      <c r="L136" t="str">
        <f>Koontitaulukko10[[#This Row],[Kunta]]</f>
        <v/>
      </c>
      <c r="M136" t="str">
        <f>Koontitaulukko10[[#This Row],[Vesilaitoksen nimi]]</f>
        <v/>
      </c>
      <c r="N136" s="73" t="str">
        <f>Koontitaulukko10[[#This Row],[Vastauspvm]]</f>
        <v/>
      </c>
      <c r="O136" s="73"/>
    </row>
    <row r="137" spans="1:15" x14ac:dyDescent="0.35">
      <c r="A137" t="str">
        <f>Koontitaulukko10[[#This Row],[Kuuluuko kriteeri kyseisen laitoksen vastattavaksi]]</f>
        <v>Ei kuulu</v>
      </c>
      <c r="B137" t="str">
        <f>Koontitaulukko10[[#This Row],[Extra-kysymys]]</f>
        <v/>
      </c>
      <c r="C137">
        <f>Koontitaulukko10[[#This Row],[Kriteerin kokoluokka]]</f>
        <v>3.4</v>
      </c>
      <c r="D137" t="str">
        <f>Koontitaulukko10[[#This Row],[Kriteerin toimiala]]</f>
        <v>B,C</v>
      </c>
      <c r="E137" t="str">
        <f>Koontitaulukko10[[#This Row],[Pääkategoria]]</f>
        <v>Kestävä ja kehittyvä</v>
      </c>
      <c r="F137" t="str">
        <f>Koontitaulukko10[[#This Row],[Alakategoria]]</f>
        <v>11. Asiakaspalvelu ja viestintä on suunniteltua ja läpinäkyvää</v>
      </c>
      <c r="G137" t="str">
        <f>Koontitaulukko10[[#This Row],[Arviointikriteeri]]</f>
        <v>11.8 Käytössä liittyjäkohtainen kuluttajaviestintä (esim. tekstiviesti-ilmoitus)</v>
      </c>
      <c r="H137" t="str">
        <f>Koontitaulukko10[[#This Row],[Huoltovarmuus]]</f>
        <v>Ei</v>
      </c>
      <c r="I137" t="str">
        <f>Koontitaulukko10[[#This Row],[Vastaus ]]</f>
        <v/>
      </c>
      <c r="J137">
        <f>Koontitaulukko10[[#This Row],[Vastaajan kokoluokka]]</f>
        <v>0</v>
      </c>
      <c r="K137" t="str">
        <f>Koontitaulukko10[[#This Row],[Vastaajan toimiala]]</f>
        <v/>
      </c>
      <c r="L137" t="str">
        <f>Koontitaulukko10[[#This Row],[Kunta]]</f>
        <v/>
      </c>
      <c r="M137" t="str">
        <f>Koontitaulukko10[[#This Row],[Vesilaitoksen nimi]]</f>
        <v/>
      </c>
      <c r="N137" s="73" t="str">
        <f>Koontitaulukko10[[#This Row],[Vastauspvm]]</f>
        <v/>
      </c>
      <c r="O137" s="73"/>
    </row>
    <row r="138" spans="1:15" x14ac:dyDescent="0.35">
      <c r="A138" t="str">
        <f>Koontitaulukko10[[#This Row],[Kuuluuko kriteeri kyseisen laitoksen vastattavaksi]]</f>
        <v>Ei kuulu</v>
      </c>
      <c r="B138" t="str">
        <f>Koontitaulukko10[[#This Row],[Extra-kysymys]]</f>
        <v/>
      </c>
      <c r="C138">
        <f>Koontitaulukko10[[#This Row],[Kriteerin kokoluokka]]</f>
        <v>4</v>
      </c>
      <c r="D138" t="str">
        <f>Koontitaulukko10[[#This Row],[Kriteerin toimiala]]</f>
        <v>B,C</v>
      </c>
      <c r="E138" t="str">
        <f>Koontitaulukko10[[#This Row],[Pääkategoria]]</f>
        <v>Kestävä ja kehittyvä</v>
      </c>
      <c r="F138" t="str">
        <f>Koontitaulukko10[[#This Row],[Alakategoria]]</f>
        <v>11. Asiakaspalvelu ja viestintä on suunniteltua ja läpinäkyvää</v>
      </c>
      <c r="G138" t="str">
        <f>Koontitaulukko10[[#This Row],[Arviointikriteeri]]</f>
        <v>11.9 Sijaintitiedon kannalta oleelliset asiakasvalitukset hallinnoidaan paikkatietona. (esim. johtotietojärjestelmä, kunnossapitojärjestelmä)</v>
      </c>
      <c r="H138" t="str">
        <f>Koontitaulukko10[[#This Row],[Huoltovarmuus]]</f>
        <v>Ei</v>
      </c>
      <c r="I138" t="str">
        <f>Koontitaulukko10[[#This Row],[Vastaus ]]</f>
        <v/>
      </c>
      <c r="J138">
        <f>Koontitaulukko10[[#This Row],[Vastaajan kokoluokka]]</f>
        <v>0</v>
      </c>
      <c r="K138" t="str">
        <f>Koontitaulukko10[[#This Row],[Vastaajan toimiala]]</f>
        <v/>
      </c>
      <c r="L138" t="str">
        <f>Koontitaulukko10[[#This Row],[Kunta]]</f>
        <v/>
      </c>
      <c r="M138" t="str">
        <f>Koontitaulukko10[[#This Row],[Vesilaitoksen nimi]]</f>
        <v/>
      </c>
      <c r="N138" s="73" t="str">
        <f>Koontitaulukko10[[#This Row],[Vastauspvm]]</f>
        <v/>
      </c>
      <c r="O138" s="73"/>
    </row>
    <row r="139" spans="1:15" x14ac:dyDescent="0.35">
      <c r="A139" t="str">
        <f>Koontitaulukko10[[#This Row],[Kuuluuko kriteeri kyseisen laitoksen vastattavaksi]]</f>
        <v>Ei kuulu</v>
      </c>
      <c r="B139" t="str">
        <f>Koontitaulukko10[[#This Row],[Extra-kysymys]]</f>
        <v/>
      </c>
      <c r="C139">
        <f>Koontitaulukko10[[#This Row],[Kriteerin kokoluokka]]</f>
        <v>4</v>
      </c>
      <c r="D139" t="str">
        <f>Koontitaulukko10[[#This Row],[Kriteerin toimiala]]</f>
        <v>B,C</v>
      </c>
      <c r="E139" t="str">
        <f>Koontitaulukko10[[#This Row],[Pääkategoria]]</f>
        <v>Kestävä ja kehittyvä</v>
      </c>
      <c r="F139" t="str">
        <f>Koontitaulukko10[[#This Row],[Alakategoria]]</f>
        <v>11. Asiakaspalvelu ja viestintä on suunniteltua ja läpinäkyvää</v>
      </c>
      <c r="G139" t="str">
        <f>Koontitaulukko10[[#This Row],[Arviointikriteeri]]</f>
        <v>11.10 Asiakastyytyväisyyden tulos tasolla vähintään hyvä.</v>
      </c>
      <c r="H139" t="str">
        <f>Koontitaulukko10[[#This Row],[Huoltovarmuus]]</f>
        <v>Ei</v>
      </c>
      <c r="I139" t="str">
        <f>Koontitaulukko10[[#This Row],[Vastaus ]]</f>
        <v/>
      </c>
      <c r="J139">
        <f>Koontitaulukko10[[#This Row],[Vastaajan kokoluokka]]</f>
        <v>0</v>
      </c>
      <c r="K139" t="str">
        <f>Koontitaulukko10[[#This Row],[Vastaajan toimiala]]</f>
        <v/>
      </c>
      <c r="L139" t="str">
        <f>Koontitaulukko10[[#This Row],[Kunta]]</f>
        <v/>
      </c>
      <c r="M139" t="str">
        <f>Koontitaulukko10[[#This Row],[Vesilaitoksen nimi]]</f>
        <v/>
      </c>
      <c r="N139" s="73" t="str">
        <f>Koontitaulukko10[[#This Row],[Vastauspvm]]</f>
        <v/>
      </c>
      <c r="O139" s="73"/>
    </row>
    <row r="140" spans="1:15" x14ac:dyDescent="0.35">
      <c r="A140" t="str">
        <f>Koontitaulukko10[[#This Row],[Kuuluuko kriteeri kyseisen laitoksen vastattavaksi]]</f>
        <v>Ei kuulu</v>
      </c>
      <c r="B140" t="str">
        <f>Koontitaulukko10[[#This Row],[Extra-kysymys]]</f>
        <v/>
      </c>
      <c r="C140">
        <f>Koontitaulukko10[[#This Row],[Kriteerin kokoluokka]]</f>
        <v>4</v>
      </c>
      <c r="D140" t="str">
        <f>Koontitaulukko10[[#This Row],[Kriteerin toimiala]]</f>
        <v>B,C</v>
      </c>
      <c r="E140" t="str">
        <f>Koontitaulukko10[[#This Row],[Pääkategoria]]</f>
        <v>Kestävä ja kehittyvä</v>
      </c>
      <c r="F140" t="str">
        <f>Koontitaulukko10[[#This Row],[Alakategoria]]</f>
        <v>11. Asiakaspalvelu ja viestintä on suunniteltua ja läpinäkyvää</v>
      </c>
      <c r="G140" t="str">
        <f>Koontitaulukko10[[#This Row],[Arviointikriteeri]]</f>
        <v>11.11 Asiakaspalvelua kehitetään asiakastyytyväisyyskyselyjen lisäksi yhteistyössä asiakkaiden kanssa. (esim. säännöllinen asiakasfoorumi, isännöitsijätapaamiset)</v>
      </c>
      <c r="H140" t="str">
        <f>Koontitaulukko10[[#This Row],[Huoltovarmuus]]</f>
        <v>Ei</v>
      </c>
      <c r="I140" t="str">
        <f>Koontitaulukko10[[#This Row],[Vastaus ]]</f>
        <v/>
      </c>
      <c r="J140">
        <f>Koontitaulukko10[[#This Row],[Vastaajan kokoluokka]]</f>
        <v>0</v>
      </c>
      <c r="K140" t="str">
        <f>Koontitaulukko10[[#This Row],[Vastaajan toimiala]]</f>
        <v/>
      </c>
      <c r="L140" t="str">
        <f>Koontitaulukko10[[#This Row],[Kunta]]</f>
        <v/>
      </c>
      <c r="M140" t="str">
        <f>Koontitaulukko10[[#This Row],[Vesilaitoksen nimi]]</f>
        <v/>
      </c>
      <c r="N140" s="73" t="str">
        <f>Koontitaulukko10[[#This Row],[Vastauspvm]]</f>
        <v/>
      </c>
      <c r="O140" s="73"/>
    </row>
    <row r="141" spans="1:15" x14ac:dyDescent="0.35">
      <c r="A141" t="str">
        <f>Koontitaulukko10[[#This Row],[Kuuluuko kriteeri kyseisen laitoksen vastattavaksi]]</f>
        <v>Ei kuulu</v>
      </c>
      <c r="B141" t="str">
        <f>Koontitaulukko10[[#This Row],[Extra-kysymys]]</f>
        <v/>
      </c>
      <c r="C141">
        <f>Koontitaulukko10[[#This Row],[Kriteerin kokoluokka]]</f>
        <v>4</v>
      </c>
      <c r="D141" t="str">
        <f>Koontitaulukko10[[#This Row],[Kriteerin toimiala]]</f>
        <v>B,C</v>
      </c>
      <c r="E141" t="str">
        <f>Koontitaulukko10[[#This Row],[Pääkategoria]]</f>
        <v>Kestävä ja kehittyvä</v>
      </c>
      <c r="F141" t="str">
        <f>Koontitaulukko10[[#This Row],[Alakategoria]]</f>
        <v>11. Asiakaspalvelu ja viestintä on suunniteltua ja läpinäkyvää</v>
      </c>
      <c r="G141" t="str">
        <f>Koontitaulukko10[[#This Row],[Arviointikriteeri]]</f>
        <v>11.12 Asiakaspalvelulle on määritelty palvelutaso normaalitoiminnassa ja häiriötilanteissa.</v>
      </c>
      <c r="H141" t="str">
        <f>Koontitaulukko10[[#This Row],[Huoltovarmuus]]</f>
        <v>Ei</v>
      </c>
      <c r="I141" t="str">
        <f>Koontitaulukko10[[#This Row],[Vastaus ]]</f>
        <v/>
      </c>
      <c r="J141">
        <f>Koontitaulukko10[[#This Row],[Vastaajan kokoluokka]]</f>
        <v>0</v>
      </c>
      <c r="K141" t="str">
        <f>Koontitaulukko10[[#This Row],[Vastaajan toimiala]]</f>
        <v/>
      </c>
      <c r="L141" t="str">
        <f>Koontitaulukko10[[#This Row],[Kunta]]</f>
        <v/>
      </c>
      <c r="M141" t="str">
        <f>Koontitaulukko10[[#This Row],[Vesilaitoksen nimi]]</f>
        <v/>
      </c>
      <c r="N141" s="73" t="str">
        <f>Koontitaulukko10[[#This Row],[Vastauspvm]]</f>
        <v/>
      </c>
      <c r="O141" s="73"/>
    </row>
    <row r="142" spans="1:15" x14ac:dyDescent="0.35">
      <c r="A142" t="str">
        <f>Koontitaulukko10[[#This Row],[Kuuluuko kriteeri kyseisen laitoksen vastattavaksi]]</f>
        <v>Ei kuulu</v>
      </c>
      <c r="B142" t="str">
        <f>Koontitaulukko10[[#This Row],[Extra-kysymys]]</f>
        <v/>
      </c>
      <c r="C142">
        <f>Koontitaulukko10[[#This Row],[Kriteerin kokoluokka]]</f>
        <v>5</v>
      </c>
      <c r="D142" t="str">
        <f>Koontitaulukko10[[#This Row],[Kriteerin toimiala]]</f>
        <v>B,C</v>
      </c>
      <c r="E142" t="str">
        <f>Koontitaulukko10[[#This Row],[Pääkategoria]]</f>
        <v>Kestävä ja kehittyvä</v>
      </c>
      <c r="F142" t="str">
        <f>Koontitaulukko10[[#This Row],[Alakategoria]]</f>
        <v>11. Asiakaspalvelu ja viestintä on suunniteltua ja läpinäkyvää</v>
      </c>
      <c r="G142" t="str">
        <f>Koontitaulukko10[[#This Row],[Arviointikriteeri]]</f>
        <v>11.13 Asiakastyytyväisyyden jatkuva seuranta aina asiakaskohtaamisen yhteydessä</v>
      </c>
      <c r="H142" t="str">
        <f>Koontitaulukko10[[#This Row],[Huoltovarmuus]]</f>
        <v>Ei</v>
      </c>
      <c r="I142" t="str">
        <f>Koontitaulukko10[[#This Row],[Vastaus ]]</f>
        <v/>
      </c>
      <c r="J142">
        <f>Koontitaulukko10[[#This Row],[Vastaajan kokoluokka]]</f>
        <v>0</v>
      </c>
      <c r="K142" t="str">
        <f>Koontitaulukko10[[#This Row],[Vastaajan toimiala]]</f>
        <v/>
      </c>
      <c r="L142" t="str">
        <f>Koontitaulukko10[[#This Row],[Kunta]]</f>
        <v/>
      </c>
      <c r="M142" t="str">
        <f>Koontitaulukko10[[#This Row],[Vesilaitoksen nimi]]</f>
        <v/>
      </c>
      <c r="N142" s="73" t="str">
        <f>Koontitaulukko10[[#This Row],[Vastauspvm]]</f>
        <v/>
      </c>
      <c r="O142" s="73"/>
    </row>
    <row r="143" spans="1:15" x14ac:dyDescent="0.35">
      <c r="A143" t="str">
        <f>Koontitaulukko10[[#This Row],[Kuuluuko kriteeri kyseisen laitoksen vastattavaksi]]</f>
        <v>Ei kuulu</v>
      </c>
      <c r="B143" t="str">
        <f>Koontitaulukko10[[#This Row],[Extra-kysymys]]</f>
        <v/>
      </c>
      <c r="C143">
        <f>Koontitaulukko10[[#This Row],[Kriteerin kokoluokka]]</f>
        <v>5</v>
      </c>
      <c r="D143" t="str">
        <f>Koontitaulukko10[[#This Row],[Kriteerin toimiala]]</f>
        <v>B,C</v>
      </c>
      <c r="E143" t="str">
        <f>Koontitaulukko10[[#This Row],[Pääkategoria]]</f>
        <v>Kestävä ja kehittyvä</v>
      </c>
      <c r="F143" t="str">
        <f>Koontitaulukko10[[#This Row],[Alakategoria]]</f>
        <v>11. Asiakaspalvelu ja viestintä on suunniteltua ja läpinäkyvää</v>
      </c>
      <c r="G143" t="str">
        <f>Koontitaulukko10[[#This Row],[Arviointikriteeri]]</f>
        <v>11.14 Asiakkaille tarjotaan kohderyhmittäin räätälöityjä lisäpalveluja kulutustietojen, asioinnin yms. suhteen, esim. etäluenta, ladattava äppi tms.</v>
      </c>
      <c r="H143" t="str">
        <f>Koontitaulukko10[[#This Row],[Huoltovarmuus]]</f>
        <v>Ei</v>
      </c>
      <c r="I143" t="str">
        <f>Koontitaulukko10[[#This Row],[Vastaus ]]</f>
        <v/>
      </c>
      <c r="J143">
        <f>Koontitaulukko10[[#This Row],[Vastaajan kokoluokka]]</f>
        <v>0</v>
      </c>
      <c r="K143" t="str">
        <f>Koontitaulukko10[[#This Row],[Vastaajan toimiala]]</f>
        <v/>
      </c>
      <c r="L143" t="str">
        <f>Koontitaulukko10[[#This Row],[Kunta]]</f>
        <v/>
      </c>
      <c r="M143" t="str">
        <f>Koontitaulukko10[[#This Row],[Vesilaitoksen nimi]]</f>
        <v/>
      </c>
      <c r="N143" s="73" t="str">
        <f>Koontitaulukko10[[#This Row],[Vastauspvm]]</f>
        <v/>
      </c>
      <c r="O143" s="73"/>
    </row>
  </sheetData>
  <pageMargins left="0.7" right="0.7" top="0.75" bottom="0.75" header="0.3" footer="0.3"/>
  <pageSetup paperSize="9" orientation="portrait" horizontalDpi="4294967293"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F8CF8-66CF-43D0-8CBF-90D0B0827256}">
  <sheetPr codeName="Sheet5">
    <tabColor rgb="FFFF0000"/>
  </sheetPr>
  <dimension ref="A1:Q32"/>
  <sheetViews>
    <sheetView workbookViewId="0">
      <selection activeCell="P23" sqref="P23"/>
    </sheetView>
  </sheetViews>
  <sheetFormatPr defaultRowHeight="14.5" x14ac:dyDescent="0.35"/>
  <cols>
    <col min="2" max="2" width="19.36328125" customWidth="1"/>
    <col min="8" max="8" width="0" hidden="1" customWidth="1"/>
  </cols>
  <sheetData>
    <row r="1" spans="1:17" ht="26" x14ac:dyDescent="0.6">
      <c r="A1" s="13" t="s">
        <v>181</v>
      </c>
    </row>
    <row r="4" spans="1:17" x14ac:dyDescent="0.35">
      <c r="B4" s="39" t="s">
        <v>214</v>
      </c>
      <c r="C4" s="40"/>
      <c r="D4" s="40"/>
      <c r="E4" s="40"/>
      <c r="F4" s="40"/>
      <c r="G4" s="39" t="s">
        <v>215</v>
      </c>
      <c r="H4" s="40"/>
      <c r="I4" s="40"/>
      <c r="J4" s="40"/>
      <c r="K4" s="40"/>
      <c r="L4" s="40"/>
      <c r="M4" s="39" t="s">
        <v>220</v>
      </c>
      <c r="N4" s="40"/>
      <c r="O4" s="40"/>
      <c r="P4" s="40"/>
      <c r="Q4" t="s">
        <v>216</v>
      </c>
    </row>
    <row r="5" spans="1:17" x14ac:dyDescent="0.35">
      <c r="B5" s="15">
        <f>IF(LEN(Lähtötiedot!C15)&gt;0,1,0)</f>
        <v>0</v>
      </c>
      <c r="C5" t="s">
        <v>169</v>
      </c>
      <c r="G5" s="46" t="b">
        <v>0</v>
      </c>
      <c r="H5" s="15" t="str">
        <f>IF(LEN(Lähtötiedot!$H15)&gt;0,"A","X")</f>
        <v>X</v>
      </c>
      <c r="I5" s="15" t="str">
        <f>IF(G5,"A","X")</f>
        <v>X</v>
      </c>
      <c r="J5" t="s">
        <v>170</v>
      </c>
      <c r="M5">
        <f>COUNTA(Lähtötiedot!O15:S18)</f>
        <v>0</v>
      </c>
      <c r="Q5" t="s">
        <v>271</v>
      </c>
    </row>
    <row r="6" spans="1:17" x14ac:dyDescent="0.35">
      <c r="B6" s="15">
        <f>IF(LEN(Lähtötiedot!C16)&gt;0,2,0)</f>
        <v>0</v>
      </c>
      <c r="C6" t="s">
        <v>168</v>
      </c>
      <c r="G6" s="46" t="b">
        <v>0</v>
      </c>
      <c r="H6" s="15" t="str">
        <f>IF(LEN(Lähtötiedot!$H16)&gt;0,"A","X")</f>
        <v>X</v>
      </c>
      <c r="I6" s="15" t="str">
        <f>IF(G6,"B","X")</f>
        <v>X</v>
      </c>
      <c r="J6" t="s">
        <v>171</v>
      </c>
    </row>
    <row r="7" spans="1:17" x14ac:dyDescent="0.35">
      <c r="B7" s="15">
        <f>IF(LEN(Lähtötiedot!C17)&gt;0,3,0)</f>
        <v>0</v>
      </c>
      <c r="C7" t="s">
        <v>167</v>
      </c>
      <c r="G7" s="46" t="b">
        <v>0</v>
      </c>
      <c r="H7" s="15" t="str">
        <f>IF(LEN(Lähtötiedot!$H17)&gt;0,"A","X")</f>
        <v>X</v>
      </c>
      <c r="I7" s="15" t="str">
        <f>IF(G7,"C","X")</f>
        <v>X</v>
      </c>
      <c r="J7" t="s">
        <v>172</v>
      </c>
    </row>
    <row r="8" spans="1:17" x14ac:dyDescent="0.35">
      <c r="B8" s="15">
        <f>IF(LEN(Lähtötiedot!C18)&gt;0,4,0)</f>
        <v>0</v>
      </c>
      <c r="C8" t="s">
        <v>166</v>
      </c>
      <c r="G8" s="46" t="b">
        <v>0</v>
      </c>
      <c r="H8" s="15" t="str">
        <f>IF(LEN(Lähtötiedot!$H18)&gt;0,"A","X")</f>
        <v>X</v>
      </c>
      <c r="I8" s="15" t="str">
        <f>IF(G8,"D","X")</f>
        <v>X</v>
      </c>
      <c r="J8" t="s">
        <v>173</v>
      </c>
    </row>
    <row r="9" spans="1:17" ht="15" thickBot="1" x14ac:dyDescent="0.4"/>
    <row r="10" spans="1:17" ht="15" thickBot="1" x14ac:dyDescent="0.4">
      <c r="B10" s="44">
        <v>0</v>
      </c>
      <c r="C10" s="14" t="s">
        <v>182</v>
      </c>
    </row>
    <row r="12" spans="1:17" ht="15" thickBot="1" x14ac:dyDescent="0.4">
      <c r="B12" s="39" t="s">
        <v>213</v>
      </c>
      <c r="C12" s="39"/>
      <c r="D12" s="39"/>
      <c r="E12" s="39"/>
      <c r="F12" s="39"/>
      <c r="G12" s="39"/>
      <c r="H12" s="39"/>
      <c r="I12" s="39"/>
      <c r="J12" s="39"/>
      <c r="K12" s="39"/>
      <c r="L12" s="39"/>
      <c r="M12" s="39"/>
      <c r="N12" s="39"/>
      <c r="O12" s="39"/>
      <c r="P12" s="39"/>
    </row>
    <row r="13" spans="1:17" x14ac:dyDescent="0.35">
      <c r="B13" s="41">
        <f>IF(B5=1,1,0)</f>
        <v>0</v>
      </c>
      <c r="C13" t="s">
        <v>219</v>
      </c>
      <c r="I13" s="41" t="str">
        <f>IF(I5="X","",I5)</f>
        <v/>
      </c>
    </row>
    <row r="14" spans="1:17" x14ac:dyDescent="0.35">
      <c r="B14" s="42">
        <f t="shared" ref="B14:B15" si="0">IF(B6=1,1,0)</f>
        <v>0</v>
      </c>
      <c r="C14" t="s">
        <v>217</v>
      </c>
      <c r="I14" s="42" t="str">
        <f t="shared" ref="I14:I16" si="1">IF(I6="X","",I6)</f>
        <v/>
      </c>
    </row>
    <row r="15" spans="1:17" x14ac:dyDescent="0.35">
      <c r="B15" s="42">
        <f t="shared" si="0"/>
        <v>0</v>
      </c>
      <c r="I15" s="42" t="str">
        <f>IF(I7="X","",I7)</f>
        <v/>
      </c>
    </row>
    <row r="16" spans="1:17" ht="15" thickBot="1" x14ac:dyDescent="0.4">
      <c r="B16" s="43">
        <f>IF(B8=4,1,0)</f>
        <v>0</v>
      </c>
      <c r="I16" s="43" t="str">
        <f t="shared" si="1"/>
        <v/>
      </c>
    </row>
    <row r="17" spans="1:16" ht="15" thickBot="1" x14ac:dyDescent="0.4">
      <c r="I17" s="44">
        <f>COUNTBLANK(I13:I16)</f>
        <v>4</v>
      </c>
    </row>
    <row r="18" spans="1:16" ht="15" thickBot="1" x14ac:dyDescent="0.4">
      <c r="B18" s="44">
        <f>SUM(B13:B16)</f>
        <v>0</v>
      </c>
      <c r="I18" s="44" t="str">
        <f>CONCATENATE(I13,I14,I15,I16)</f>
        <v/>
      </c>
    </row>
    <row r="20" spans="1:16" ht="15" thickBot="1" x14ac:dyDescent="0.4">
      <c r="B20" s="39" t="s">
        <v>212</v>
      </c>
      <c r="C20" s="39"/>
      <c r="D20" s="39"/>
      <c r="E20" s="39"/>
      <c r="F20" s="39"/>
      <c r="G20" s="39"/>
      <c r="H20" s="39"/>
      <c r="I20" s="39"/>
      <c r="J20" s="39"/>
      <c r="K20" s="39"/>
      <c r="L20" s="39"/>
      <c r="M20" s="39"/>
      <c r="N20" s="39"/>
      <c r="O20" s="39"/>
      <c r="P20" s="39"/>
    </row>
    <row r="21" spans="1:16" ht="15" thickBot="1" x14ac:dyDescent="0.4">
      <c r="B21" s="178" t="str">
        <f>IF(B10=0,"1) Valitse kokoluokka","Valittu kokoluokka = "&amp;B10)</f>
        <v>1) Valitse kokoluokka</v>
      </c>
      <c r="C21" s="179"/>
      <c r="D21" s="180"/>
      <c r="I21" s="178" t="str">
        <f>IF(COUNTBLANK(I13:I16)=4,"2) Valitse toimiala",CONCATENATE("Valittu toimiala(t) " &amp; I18))</f>
        <v>2) Valitse toimiala</v>
      </c>
      <c r="J21" s="179"/>
      <c r="K21" s="180"/>
      <c r="M21" s="178" t="str">
        <f>IF(M5=0,"3) Kirjaa vastaajan tiedot",IF(COUNTA(Lähtötiedot!O16)&gt;0,"Vesilaitos: "&amp;Lähtötiedot!O16,"Vesilaitoksen nimi puuttuu"))</f>
        <v>3) Kirjaa vastaajan tiedot</v>
      </c>
      <c r="N21" s="179"/>
      <c r="O21" s="180"/>
    </row>
    <row r="27" spans="1:16" ht="26" x14ac:dyDescent="0.6">
      <c r="A27" s="13" t="s">
        <v>245</v>
      </c>
    </row>
    <row r="29" spans="1:16" x14ac:dyDescent="0.35">
      <c r="B29" s="10" t="s">
        <v>180</v>
      </c>
    </row>
    <row r="30" spans="1:16" x14ac:dyDescent="0.35">
      <c r="B30" t="s">
        <v>177</v>
      </c>
    </row>
    <row r="31" spans="1:16" x14ac:dyDescent="0.35">
      <c r="B31" t="s">
        <v>178</v>
      </c>
    </row>
    <row r="32" spans="1:16" x14ac:dyDescent="0.35">
      <c r="B32" t="s">
        <v>179</v>
      </c>
    </row>
  </sheetData>
  <mergeCells count="3">
    <mergeCell ref="B21:D21"/>
    <mergeCell ref="I21:K21"/>
    <mergeCell ref="M21:O21"/>
  </mergeCells>
  <pageMargins left="0.7" right="0.7" top="0.75" bottom="0.75" header="0.3" footer="0.3"/>
  <pageSetup paperSize="9"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CFCF9-C18E-4212-B862-EF7151FE9E6C}">
  <sheetPr codeName="Sheet1">
    <tabColor rgb="FFFF0000"/>
  </sheetPr>
  <dimension ref="A1:F133"/>
  <sheetViews>
    <sheetView workbookViewId="0"/>
  </sheetViews>
  <sheetFormatPr defaultColWidth="8.81640625" defaultRowHeight="14.5" x14ac:dyDescent="0.35"/>
  <cols>
    <col min="1" max="1" width="9.08984375" style="1" bestFit="1" customWidth="1"/>
    <col min="2" max="2" width="27.1796875" style="1" bestFit="1" customWidth="1"/>
    <col min="3" max="3" width="87.1796875" style="1" bestFit="1" customWidth="1"/>
    <col min="4" max="4" width="116.81640625" style="1" bestFit="1" customWidth="1"/>
    <col min="5" max="5" width="10.1796875" style="1" bestFit="1" customWidth="1"/>
    <col min="6" max="6" width="16" style="1" bestFit="1" customWidth="1"/>
    <col min="7" max="16384" width="8.81640625" style="1"/>
  </cols>
  <sheetData>
    <row r="1" spans="1:6" x14ac:dyDescent="0.35">
      <c r="A1" s="4" t="s">
        <v>0</v>
      </c>
      <c r="B1" s="4" t="s">
        <v>1</v>
      </c>
      <c r="C1" s="4" t="s">
        <v>2</v>
      </c>
      <c r="D1" s="4" t="s">
        <v>3</v>
      </c>
      <c r="E1" s="5" t="s">
        <v>4</v>
      </c>
      <c r="F1" s="5" t="s">
        <v>5</v>
      </c>
    </row>
    <row r="2" spans="1:6" x14ac:dyDescent="0.35">
      <c r="A2" s="3" t="s">
        <v>6</v>
      </c>
      <c r="B2" s="3" t="s">
        <v>7</v>
      </c>
      <c r="C2" s="3" t="s">
        <v>8</v>
      </c>
      <c r="D2" s="3" t="s">
        <v>9</v>
      </c>
      <c r="E2" s="3" t="s">
        <v>10</v>
      </c>
      <c r="F2" s="3" t="s">
        <v>11</v>
      </c>
    </row>
    <row r="3" spans="1:6" x14ac:dyDescent="0.35">
      <c r="A3" s="6" t="s">
        <v>12</v>
      </c>
      <c r="B3" s="3" t="s">
        <v>7</v>
      </c>
      <c r="C3" s="3" t="s">
        <v>8</v>
      </c>
      <c r="D3" s="6" t="s">
        <v>13</v>
      </c>
      <c r="E3" s="3" t="s">
        <v>10</v>
      </c>
      <c r="F3" s="3" t="s">
        <v>11</v>
      </c>
    </row>
    <row r="4" spans="1:6" x14ac:dyDescent="0.35">
      <c r="A4" s="3" t="s">
        <v>12</v>
      </c>
      <c r="B4" s="3" t="s">
        <v>7</v>
      </c>
      <c r="C4" s="3" t="s">
        <v>8</v>
      </c>
      <c r="D4" s="3" t="s">
        <v>14</v>
      </c>
      <c r="E4" s="3" t="s">
        <v>10</v>
      </c>
      <c r="F4" s="3" t="s">
        <v>11</v>
      </c>
    </row>
    <row r="5" spans="1:6" x14ac:dyDescent="0.35">
      <c r="A5" s="3" t="s">
        <v>12</v>
      </c>
      <c r="B5" s="3" t="s">
        <v>7</v>
      </c>
      <c r="C5" s="3" t="s">
        <v>8</v>
      </c>
      <c r="D5" s="3" t="s">
        <v>15</v>
      </c>
      <c r="E5" s="3" t="s">
        <v>10</v>
      </c>
      <c r="F5" s="3"/>
    </row>
    <row r="6" spans="1:6" x14ac:dyDescent="0.35">
      <c r="A6" s="3" t="s">
        <v>12</v>
      </c>
      <c r="B6" s="3" t="s">
        <v>7</v>
      </c>
      <c r="C6" s="3" t="s">
        <v>8</v>
      </c>
      <c r="D6" s="3" t="s">
        <v>16</v>
      </c>
      <c r="E6" s="3" t="s">
        <v>17</v>
      </c>
      <c r="F6" s="3"/>
    </row>
    <row r="7" spans="1:6" x14ac:dyDescent="0.35">
      <c r="A7" s="6" t="s">
        <v>12</v>
      </c>
      <c r="B7" s="3" t="s">
        <v>7</v>
      </c>
      <c r="C7" s="3" t="s">
        <v>8</v>
      </c>
      <c r="D7" s="6" t="s">
        <v>18</v>
      </c>
      <c r="E7" s="3" t="s">
        <v>17</v>
      </c>
      <c r="F7" s="3"/>
    </row>
    <row r="8" spans="1:6" x14ac:dyDescent="0.35">
      <c r="A8" s="6" t="s">
        <v>19</v>
      </c>
      <c r="B8" s="3" t="s">
        <v>7</v>
      </c>
      <c r="C8" s="3" t="s">
        <v>8</v>
      </c>
      <c r="D8" s="3" t="s">
        <v>20</v>
      </c>
      <c r="E8" s="3" t="s">
        <v>21</v>
      </c>
      <c r="F8" s="3"/>
    </row>
    <row r="9" spans="1:6" x14ac:dyDescent="0.35">
      <c r="A9" s="6">
        <v>4</v>
      </c>
      <c r="B9" s="3" t="s">
        <v>7</v>
      </c>
      <c r="C9" s="3" t="s">
        <v>8</v>
      </c>
      <c r="D9" s="6" t="s">
        <v>22</v>
      </c>
      <c r="E9" s="3" t="s">
        <v>21</v>
      </c>
      <c r="F9" s="3"/>
    </row>
    <row r="10" spans="1:6" x14ac:dyDescent="0.35">
      <c r="A10" s="6">
        <v>4</v>
      </c>
      <c r="B10" s="3" t="s">
        <v>7</v>
      </c>
      <c r="C10" s="6" t="s">
        <v>8</v>
      </c>
      <c r="D10" s="3" t="s">
        <v>23</v>
      </c>
      <c r="E10" s="6" t="s">
        <v>21</v>
      </c>
      <c r="F10" s="6" t="s">
        <v>11</v>
      </c>
    </row>
    <row r="11" spans="1:6" x14ac:dyDescent="0.35">
      <c r="A11" s="6">
        <v>4</v>
      </c>
      <c r="B11" s="3" t="s">
        <v>7</v>
      </c>
      <c r="C11" s="6" t="s">
        <v>8</v>
      </c>
      <c r="D11" s="3" t="s">
        <v>24</v>
      </c>
      <c r="E11" s="6" t="s">
        <v>17</v>
      </c>
      <c r="F11" s="6"/>
    </row>
    <row r="12" spans="1:6" x14ac:dyDescent="0.35">
      <c r="A12" s="3">
        <v>5</v>
      </c>
      <c r="B12" s="3" t="s">
        <v>7</v>
      </c>
      <c r="C12" s="6" t="s">
        <v>8</v>
      </c>
      <c r="D12" s="3" t="s">
        <v>25</v>
      </c>
      <c r="E12" s="6" t="s">
        <v>21</v>
      </c>
      <c r="F12" s="6"/>
    </row>
    <row r="13" spans="1:6" x14ac:dyDescent="0.35">
      <c r="A13" s="7" t="s">
        <v>12</v>
      </c>
      <c r="B13" s="3" t="s">
        <v>7</v>
      </c>
      <c r="C13" s="6" t="s">
        <v>26</v>
      </c>
      <c r="D13" s="7" t="s">
        <v>27</v>
      </c>
      <c r="E13" s="7" t="s">
        <v>28</v>
      </c>
      <c r="F13" s="7" t="s">
        <v>11</v>
      </c>
    </row>
    <row r="14" spans="1:6" x14ac:dyDescent="0.35">
      <c r="A14" s="2" t="s">
        <v>12</v>
      </c>
      <c r="B14" s="3" t="s">
        <v>7</v>
      </c>
      <c r="C14" s="6" t="s">
        <v>26</v>
      </c>
      <c r="D14" s="6" t="s">
        <v>29</v>
      </c>
      <c r="E14" s="6" t="s">
        <v>10</v>
      </c>
      <c r="F14" s="2" t="s">
        <v>11</v>
      </c>
    </row>
    <row r="15" spans="1:6" ht="29" x14ac:dyDescent="0.35">
      <c r="A15" s="2" t="s">
        <v>12</v>
      </c>
      <c r="B15" s="3" t="s">
        <v>7</v>
      </c>
      <c r="C15" s="6" t="s">
        <v>26</v>
      </c>
      <c r="D15" s="2" t="s">
        <v>30</v>
      </c>
      <c r="E15" s="6" t="s">
        <v>31</v>
      </c>
      <c r="F15" s="2" t="s">
        <v>11</v>
      </c>
    </row>
    <row r="16" spans="1:6" ht="29" x14ac:dyDescent="0.35">
      <c r="A16" s="2" t="s">
        <v>12</v>
      </c>
      <c r="B16" s="3" t="s">
        <v>7</v>
      </c>
      <c r="C16" s="6" t="s">
        <v>26</v>
      </c>
      <c r="D16" s="2" t="s">
        <v>32</v>
      </c>
      <c r="E16" s="6" t="s">
        <v>28</v>
      </c>
      <c r="F16" s="2" t="s">
        <v>11</v>
      </c>
    </row>
    <row r="17" spans="1:6" ht="29" x14ac:dyDescent="0.35">
      <c r="A17" s="2" t="s">
        <v>12</v>
      </c>
      <c r="B17" s="3" t="s">
        <v>7</v>
      </c>
      <c r="C17" s="6" t="s">
        <v>26</v>
      </c>
      <c r="D17" s="2" t="s">
        <v>33</v>
      </c>
      <c r="E17" s="6" t="s">
        <v>28</v>
      </c>
      <c r="F17" s="2" t="s">
        <v>11</v>
      </c>
    </row>
    <row r="18" spans="1:6" ht="29" x14ac:dyDescent="0.35">
      <c r="A18" s="2" t="s">
        <v>12</v>
      </c>
      <c r="B18" s="3" t="s">
        <v>7</v>
      </c>
      <c r="C18" s="6" t="s">
        <v>26</v>
      </c>
      <c r="D18" s="2" t="s">
        <v>34</v>
      </c>
      <c r="E18" s="6" t="s">
        <v>10</v>
      </c>
      <c r="F18" s="2" t="s">
        <v>11</v>
      </c>
    </row>
    <row r="19" spans="1:6" x14ac:dyDescent="0.35">
      <c r="A19" s="2" t="s">
        <v>12</v>
      </c>
      <c r="B19" s="3" t="s">
        <v>7</v>
      </c>
      <c r="C19" s="6" t="s">
        <v>26</v>
      </c>
      <c r="D19" s="6" t="s">
        <v>35</v>
      </c>
      <c r="E19" s="6" t="s">
        <v>28</v>
      </c>
      <c r="F19" s="2" t="s">
        <v>11</v>
      </c>
    </row>
    <row r="20" spans="1:6" x14ac:dyDescent="0.35">
      <c r="A20" s="2" t="s">
        <v>12</v>
      </c>
      <c r="B20" s="3" t="s">
        <v>7</v>
      </c>
      <c r="C20" s="6" t="s">
        <v>26</v>
      </c>
      <c r="D20" s="6" t="s">
        <v>36</v>
      </c>
      <c r="E20" s="6" t="s">
        <v>28</v>
      </c>
      <c r="F20" s="2" t="s">
        <v>11</v>
      </c>
    </row>
    <row r="21" spans="1:6" x14ac:dyDescent="0.35">
      <c r="A21" s="2" t="s">
        <v>12</v>
      </c>
      <c r="B21" s="3" t="s">
        <v>7</v>
      </c>
      <c r="C21" s="6" t="s">
        <v>26</v>
      </c>
      <c r="D21" s="6" t="s">
        <v>37</v>
      </c>
      <c r="E21" s="6" t="s">
        <v>28</v>
      </c>
      <c r="F21" s="2" t="s">
        <v>11</v>
      </c>
    </row>
    <row r="22" spans="1:6" ht="29" x14ac:dyDescent="0.35">
      <c r="A22" s="2" t="s">
        <v>12</v>
      </c>
      <c r="B22" s="3" t="s">
        <v>7</v>
      </c>
      <c r="C22" s="6" t="s">
        <v>26</v>
      </c>
      <c r="D22" s="2" t="s">
        <v>38</v>
      </c>
      <c r="E22" s="6" t="s">
        <v>28</v>
      </c>
      <c r="F22" s="2" t="s">
        <v>11</v>
      </c>
    </row>
    <row r="23" spans="1:6" ht="29" x14ac:dyDescent="0.35">
      <c r="A23" s="2">
        <v>1.2</v>
      </c>
      <c r="B23" s="3" t="s">
        <v>7</v>
      </c>
      <c r="C23" s="6" t="s">
        <v>26</v>
      </c>
      <c r="D23" s="2" t="s">
        <v>39</v>
      </c>
      <c r="E23" s="6" t="s">
        <v>10</v>
      </c>
      <c r="F23" s="6"/>
    </row>
    <row r="24" spans="1:6" x14ac:dyDescent="0.35">
      <c r="A24" s="6" t="s">
        <v>40</v>
      </c>
      <c r="B24" s="3" t="s">
        <v>7</v>
      </c>
      <c r="C24" s="6" t="s">
        <v>26</v>
      </c>
      <c r="D24" s="2" t="s">
        <v>41</v>
      </c>
      <c r="E24" s="6" t="s">
        <v>10</v>
      </c>
      <c r="F24" s="6" t="s">
        <v>11</v>
      </c>
    </row>
    <row r="25" spans="1:6" ht="58" x14ac:dyDescent="0.35">
      <c r="A25" s="6" t="s">
        <v>12</v>
      </c>
      <c r="B25" s="3" t="s">
        <v>7</v>
      </c>
      <c r="C25" s="6" t="s">
        <v>26</v>
      </c>
      <c r="D25" s="2" t="s">
        <v>42</v>
      </c>
      <c r="E25" s="6" t="s">
        <v>10</v>
      </c>
      <c r="F25" s="2" t="s">
        <v>11</v>
      </c>
    </row>
    <row r="26" spans="1:6" ht="43.5" x14ac:dyDescent="0.35">
      <c r="A26" s="6" t="s">
        <v>12</v>
      </c>
      <c r="B26" s="3" t="s">
        <v>7</v>
      </c>
      <c r="C26" s="6" t="s">
        <v>26</v>
      </c>
      <c r="D26" s="2" t="s">
        <v>43</v>
      </c>
      <c r="E26" s="6" t="s">
        <v>44</v>
      </c>
      <c r="F26" s="6" t="s">
        <v>11</v>
      </c>
    </row>
    <row r="27" spans="1:6" x14ac:dyDescent="0.35">
      <c r="A27" s="6" t="s">
        <v>12</v>
      </c>
      <c r="B27" s="3" t="s">
        <v>7</v>
      </c>
      <c r="C27" s="6" t="s">
        <v>26</v>
      </c>
      <c r="D27" s="2" t="s">
        <v>45</v>
      </c>
      <c r="E27" s="6" t="s">
        <v>28</v>
      </c>
      <c r="F27" s="6" t="s">
        <v>11</v>
      </c>
    </row>
    <row r="28" spans="1:6" ht="29" x14ac:dyDescent="0.35">
      <c r="A28" s="6" t="s">
        <v>6</v>
      </c>
      <c r="B28" s="3" t="s">
        <v>7</v>
      </c>
      <c r="C28" s="6" t="s">
        <v>26</v>
      </c>
      <c r="D28" s="2" t="s">
        <v>46</v>
      </c>
      <c r="E28" s="6" t="s">
        <v>28</v>
      </c>
      <c r="F28" s="6" t="s">
        <v>11</v>
      </c>
    </row>
    <row r="29" spans="1:6" ht="43.5" x14ac:dyDescent="0.35">
      <c r="A29" s="6" t="s">
        <v>6</v>
      </c>
      <c r="B29" s="3" t="s">
        <v>7</v>
      </c>
      <c r="C29" s="6" t="s">
        <v>26</v>
      </c>
      <c r="D29" s="2" t="s">
        <v>47</v>
      </c>
      <c r="E29" s="6" t="s">
        <v>28</v>
      </c>
      <c r="F29" s="6" t="s">
        <v>11</v>
      </c>
    </row>
    <row r="30" spans="1:6" ht="29" x14ac:dyDescent="0.35">
      <c r="A30" s="6" t="s">
        <v>6</v>
      </c>
      <c r="B30" s="3" t="s">
        <v>7</v>
      </c>
      <c r="C30" s="6" t="s">
        <v>26</v>
      </c>
      <c r="D30" s="2" t="s">
        <v>48</v>
      </c>
      <c r="E30" s="6" t="s">
        <v>44</v>
      </c>
      <c r="F30" s="6" t="s">
        <v>11</v>
      </c>
    </row>
    <row r="31" spans="1:6" ht="29" x14ac:dyDescent="0.35">
      <c r="A31" s="6" t="s">
        <v>12</v>
      </c>
      <c r="B31" s="3" t="s">
        <v>7</v>
      </c>
      <c r="C31" s="6" t="s">
        <v>26</v>
      </c>
      <c r="D31" s="2" t="s">
        <v>49</v>
      </c>
      <c r="E31" s="6" t="s">
        <v>28</v>
      </c>
      <c r="F31" s="6" t="s">
        <v>11</v>
      </c>
    </row>
    <row r="32" spans="1:6" ht="43.5" x14ac:dyDescent="0.35">
      <c r="A32" s="6" t="s">
        <v>12</v>
      </c>
      <c r="B32" s="3" t="s">
        <v>7</v>
      </c>
      <c r="C32" s="6" t="s">
        <v>26</v>
      </c>
      <c r="D32" s="2" t="s">
        <v>50</v>
      </c>
      <c r="E32" s="6" t="s">
        <v>28</v>
      </c>
      <c r="F32" s="6" t="s">
        <v>11</v>
      </c>
    </row>
    <row r="33" spans="1:6" ht="29" x14ac:dyDescent="0.35">
      <c r="A33" s="6" t="s">
        <v>12</v>
      </c>
      <c r="B33" s="3" t="s">
        <v>7</v>
      </c>
      <c r="C33" s="6" t="s">
        <v>26</v>
      </c>
      <c r="D33" s="2" t="s">
        <v>51</v>
      </c>
      <c r="E33" s="6" t="s">
        <v>28</v>
      </c>
      <c r="F33" s="6" t="s">
        <v>11</v>
      </c>
    </row>
    <row r="34" spans="1:6" ht="29" x14ac:dyDescent="0.35">
      <c r="A34" s="6">
        <v>3.4</v>
      </c>
      <c r="B34" s="3" t="s">
        <v>7</v>
      </c>
      <c r="C34" s="6" t="s">
        <v>26</v>
      </c>
      <c r="D34" s="2" t="s">
        <v>52</v>
      </c>
      <c r="E34" s="6" t="s">
        <v>28</v>
      </c>
      <c r="F34" s="6" t="s">
        <v>11</v>
      </c>
    </row>
    <row r="35" spans="1:6" ht="43.5" x14ac:dyDescent="0.35">
      <c r="A35" s="6">
        <v>3.4</v>
      </c>
      <c r="B35" s="3" t="s">
        <v>7</v>
      </c>
      <c r="C35" s="6" t="s">
        <v>26</v>
      </c>
      <c r="D35" s="2" t="s">
        <v>53</v>
      </c>
      <c r="E35" s="6" t="s">
        <v>28</v>
      </c>
      <c r="F35" s="6" t="s">
        <v>11</v>
      </c>
    </row>
    <row r="36" spans="1:6" ht="29" x14ac:dyDescent="0.35">
      <c r="A36" s="6" t="s">
        <v>40</v>
      </c>
      <c r="B36" s="3" t="s">
        <v>7</v>
      </c>
      <c r="C36" s="6" t="s">
        <v>26</v>
      </c>
      <c r="D36" s="2" t="s">
        <v>54</v>
      </c>
      <c r="E36" s="6" t="s">
        <v>28</v>
      </c>
      <c r="F36" s="6" t="s">
        <v>11</v>
      </c>
    </row>
    <row r="37" spans="1:6" ht="29" x14ac:dyDescent="0.35">
      <c r="A37" s="6">
        <v>4</v>
      </c>
      <c r="B37" s="3" t="s">
        <v>7</v>
      </c>
      <c r="C37" s="6" t="s">
        <v>26</v>
      </c>
      <c r="D37" s="2" t="s">
        <v>55</v>
      </c>
      <c r="E37" s="6" t="s">
        <v>28</v>
      </c>
      <c r="F37" s="6" t="s">
        <v>11</v>
      </c>
    </row>
    <row r="38" spans="1:6" x14ac:dyDescent="0.35">
      <c r="A38" s="6" t="s">
        <v>12</v>
      </c>
      <c r="B38" s="3" t="s">
        <v>7</v>
      </c>
      <c r="C38" s="6" t="s">
        <v>56</v>
      </c>
      <c r="D38" s="3" t="s">
        <v>57</v>
      </c>
      <c r="E38" s="6" t="s">
        <v>17</v>
      </c>
      <c r="F38" s="6" t="s">
        <v>11</v>
      </c>
    </row>
    <row r="39" spans="1:6" x14ac:dyDescent="0.35">
      <c r="A39" s="6" t="s">
        <v>12</v>
      </c>
      <c r="B39" s="3" t="s">
        <v>7</v>
      </c>
      <c r="C39" s="6" t="s">
        <v>56</v>
      </c>
      <c r="D39" s="3" t="s">
        <v>58</v>
      </c>
      <c r="E39" s="6" t="s">
        <v>17</v>
      </c>
      <c r="F39" s="6" t="s">
        <v>11</v>
      </c>
    </row>
    <row r="40" spans="1:6" x14ac:dyDescent="0.35">
      <c r="A40" s="6" t="s">
        <v>12</v>
      </c>
      <c r="B40" s="3" t="s">
        <v>7</v>
      </c>
      <c r="C40" s="6" t="s">
        <v>56</v>
      </c>
      <c r="D40" s="3" t="s">
        <v>59</v>
      </c>
      <c r="E40" s="6" t="s">
        <v>17</v>
      </c>
      <c r="F40" s="6" t="s">
        <v>11</v>
      </c>
    </row>
    <row r="41" spans="1:6" x14ac:dyDescent="0.35">
      <c r="A41" s="6" t="s">
        <v>12</v>
      </c>
      <c r="B41" s="3" t="s">
        <v>7</v>
      </c>
      <c r="C41" s="6" t="s">
        <v>56</v>
      </c>
      <c r="D41" s="3" t="s">
        <v>60</v>
      </c>
      <c r="E41" s="6" t="s">
        <v>17</v>
      </c>
      <c r="F41" s="6" t="s">
        <v>11</v>
      </c>
    </row>
    <row r="42" spans="1:6" x14ac:dyDescent="0.35">
      <c r="A42" s="6" t="s">
        <v>12</v>
      </c>
      <c r="B42" s="3" t="s">
        <v>7</v>
      </c>
      <c r="C42" s="6" t="s">
        <v>56</v>
      </c>
      <c r="D42" s="3" t="s">
        <v>61</v>
      </c>
      <c r="E42" s="6" t="s">
        <v>17</v>
      </c>
      <c r="F42" s="6" t="s">
        <v>11</v>
      </c>
    </row>
    <row r="43" spans="1:6" x14ac:dyDescent="0.35">
      <c r="A43" s="6" t="s">
        <v>12</v>
      </c>
      <c r="B43" s="3" t="s">
        <v>7</v>
      </c>
      <c r="C43" s="6" t="s">
        <v>56</v>
      </c>
      <c r="D43" s="3" t="s">
        <v>62</v>
      </c>
      <c r="E43" s="6" t="s">
        <v>17</v>
      </c>
      <c r="F43" s="6" t="s">
        <v>11</v>
      </c>
    </row>
    <row r="44" spans="1:6" x14ac:dyDescent="0.35">
      <c r="A44" s="6" t="s">
        <v>12</v>
      </c>
      <c r="B44" s="3" t="s">
        <v>7</v>
      </c>
      <c r="C44" s="6" t="s">
        <v>56</v>
      </c>
      <c r="D44" s="3" t="s">
        <v>63</v>
      </c>
      <c r="E44" s="6" t="s">
        <v>17</v>
      </c>
      <c r="F44" s="6" t="s">
        <v>11</v>
      </c>
    </row>
    <row r="45" spans="1:6" x14ac:dyDescent="0.35">
      <c r="A45" s="6" t="s">
        <v>12</v>
      </c>
      <c r="B45" s="3" t="s">
        <v>7</v>
      </c>
      <c r="C45" s="6" t="s">
        <v>56</v>
      </c>
      <c r="D45" s="3" t="s">
        <v>64</v>
      </c>
      <c r="E45" s="6" t="s">
        <v>28</v>
      </c>
      <c r="F45" s="6" t="s">
        <v>11</v>
      </c>
    </row>
    <row r="46" spans="1:6" x14ac:dyDescent="0.35">
      <c r="A46" s="6" t="s">
        <v>12</v>
      </c>
      <c r="B46" s="3" t="s">
        <v>7</v>
      </c>
      <c r="C46" s="6" t="s">
        <v>56</v>
      </c>
      <c r="D46" s="3" t="s">
        <v>65</v>
      </c>
      <c r="E46" s="3" t="s">
        <v>17</v>
      </c>
      <c r="F46" s="6" t="s">
        <v>11</v>
      </c>
    </row>
    <row r="47" spans="1:6" x14ac:dyDescent="0.35">
      <c r="A47" s="6">
        <v>5</v>
      </c>
      <c r="B47" s="3" t="s">
        <v>7</v>
      </c>
      <c r="C47" s="6" t="s">
        <v>56</v>
      </c>
      <c r="D47" s="6" t="s">
        <v>66</v>
      </c>
      <c r="E47" s="3" t="s">
        <v>17</v>
      </c>
      <c r="F47" s="6" t="s">
        <v>11</v>
      </c>
    </row>
    <row r="48" spans="1:6" x14ac:dyDescent="0.35">
      <c r="A48" s="6" t="s">
        <v>12</v>
      </c>
      <c r="B48" s="3" t="s">
        <v>7</v>
      </c>
      <c r="C48" s="6" t="s">
        <v>56</v>
      </c>
      <c r="D48" s="3" t="s">
        <v>67</v>
      </c>
      <c r="E48" s="6" t="s">
        <v>17</v>
      </c>
      <c r="F48" s="6" t="s">
        <v>11</v>
      </c>
    </row>
    <row r="49" spans="1:6" x14ac:dyDescent="0.35">
      <c r="A49" s="6" t="s">
        <v>12</v>
      </c>
      <c r="B49" s="3" t="s">
        <v>7</v>
      </c>
      <c r="C49" s="6" t="s">
        <v>56</v>
      </c>
      <c r="D49" s="3" t="s">
        <v>68</v>
      </c>
      <c r="E49" s="6" t="s">
        <v>28</v>
      </c>
      <c r="F49" s="6" t="s">
        <v>11</v>
      </c>
    </row>
    <row r="50" spans="1:6" x14ac:dyDescent="0.35">
      <c r="A50" s="6" t="s">
        <v>40</v>
      </c>
      <c r="B50" s="3" t="s">
        <v>7</v>
      </c>
      <c r="C50" s="6" t="s">
        <v>56</v>
      </c>
      <c r="D50" s="3" t="s">
        <v>69</v>
      </c>
      <c r="E50" s="6" t="s">
        <v>17</v>
      </c>
      <c r="F50" s="6" t="s">
        <v>11</v>
      </c>
    </row>
    <row r="51" spans="1:6" x14ac:dyDescent="0.35">
      <c r="A51" s="6" t="s">
        <v>12</v>
      </c>
      <c r="B51" s="3" t="s">
        <v>7</v>
      </c>
      <c r="C51" s="6" t="s">
        <v>70</v>
      </c>
      <c r="D51" s="2" t="s">
        <v>71</v>
      </c>
      <c r="E51" s="3" t="s">
        <v>28</v>
      </c>
      <c r="F51" s="3" t="s">
        <v>11</v>
      </c>
    </row>
    <row r="52" spans="1:6" x14ac:dyDescent="0.35">
      <c r="A52" s="6" t="s">
        <v>12</v>
      </c>
      <c r="B52" s="3" t="s">
        <v>7</v>
      </c>
      <c r="C52" s="6" t="s">
        <v>70</v>
      </c>
      <c r="D52" s="2" t="s">
        <v>72</v>
      </c>
      <c r="E52" s="3" t="s">
        <v>28</v>
      </c>
      <c r="F52" s="3" t="s">
        <v>11</v>
      </c>
    </row>
    <row r="53" spans="1:6" x14ac:dyDescent="0.35">
      <c r="A53" s="6" t="s">
        <v>19</v>
      </c>
      <c r="B53" s="3" t="s">
        <v>7</v>
      </c>
      <c r="C53" s="6" t="s">
        <v>70</v>
      </c>
      <c r="D53" s="2" t="s">
        <v>73</v>
      </c>
      <c r="E53" s="3" t="s">
        <v>28</v>
      </c>
      <c r="F53" s="3" t="s">
        <v>11</v>
      </c>
    </row>
    <row r="54" spans="1:6" x14ac:dyDescent="0.35">
      <c r="A54" s="6">
        <v>3.4</v>
      </c>
      <c r="B54" s="3" t="s">
        <v>7</v>
      </c>
      <c r="C54" s="6" t="s">
        <v>70</v>
      </c>
      <c r="D54" s="2" t="s">
        <v>74</v>
      </c>
      <c r="E54" s="3" t="s">
        <v>28</v>
      </c>
      <c r="F54" s="3" t="s">
        <v>11</v>
      </c>
    </row>
    <row r="55" spans="1:6" ht="43.5" x14ac:dyDescent="0.35">
      <c r="A55" s="6" t="s">
        <v>12</v>
      </c>
      <c r="B55" s="3" t="s">
        <v>7</v>
      </c>
      <c r="C55" s="6" t="s">
        <v>70</v>
      </c>
      <c r="D55" s="2" t="s">
        <v>75</v>
      </c>
      <c r="E55" s="3" t="s">
        <v>28</v>
      </c>
      <c r="F55" s="3" t="s">
        <v>11</v>
      </c>
    </row>
    <row r="56" spans="1:6" x14ac:dyDescent="0.35">
      <c r="A56" s="6" t="s">
        <v>12</v>
      </c>
      <c r="B56" s="3" t="s">
        <v>7</v>
      </c>
      <c r="C56" s="6" t="s">
        <v>70</v>
      </c>
      <c r="D56" s="2" t="s">
        <v>76</v>
      </c>
      <c r="E56" s="3" t="s">
        <v>28</v>
      </c>
      <c r="F56" s="3" t="s">
        <v>11</v>
      </c>
    </row>
    <row r="57" spans="1:6" x14ac:dyDescent="0.35">
      <c r="A57" s="6" t="s">
        <v>12</v>
      </c>
      <c r="B57" s="3" t="s">
        <v>7</v>
      </c>
      <c r="C57" s="6" t="s">
        <v>70</v>
      </c>
      <c r="D57" s="2" t="s">
        <v>77</v>
      </c>
      <c r="E57" s="3" t="s">
        <v>28</v>
      </c>
      <c r="F57" s="3" t="s">
        <v>11</v>
      </c>
    </row>
    <row r="58" spans="1:6" x14ac:dyDescent="0.35">
      <c r="A58" s="6" t="s">
        <v>19</v>
      </c>
      <c r="B58" s="3" t="s">
        <v>7</v>
      </c>
      <c r="C58" s="6" t="s">
        <v>70</v>
      </c>
      <c r="D58" s="2" t="s">
        <v>78</v>
      </c>
      <c r="E58" s="3" t="s">
        <v>28</v>
      </c>
      <c r="F58" s="3" t="s">
        <v>11</v>
      </c>
    </row>
    <row r="59" spans="1:6" x14ac:dyDescent="0.35">
      <c r="A59" s="6">
        <v>3.4</v>
      </c>
      <c r="B59" s="3" t="s">
        <v>7</v>
      </c>
      <c r="C59" s="6" t="s">
        <v>70</v>
      </c>
      <c r="D59" s="2" t="s">
        <v>79</v>
      </c>
      <c r="E59" s="3" t="s">
        <v>28</v>
      </c>
      <c r="F59" s="3" t="s">
        <v>11</v>
      </c>
    </row>
    <row r="60" spans="1:6" x14ac:dyDescent="0.35">
      <c r="A60" s="6" t="s">
        <v>12</v>
      </c>
      <c r="B60" s="3" t="s">
        <v>80</v>
      </c>
      <c r="C60" s="6" t="s">
        <v>81</v>
      </c>
      <c r="D60" s="2" t="s">
        <v>82</v>
      </c>
      <c r="E60" s="3" t="s">
        <v>28</v>
      </c>
      <c r="F60" s="3"/>
    </row>
    <row r="61" spans="1:6" ht="29" x14ac:dyDescent="0.35">
      <c r="A61" s="6" t="s">
        <v>12</v>
      </c>
      <c r="B61" s="3" t="s">
        <v>80</v>
      </c>
      <c r="C61" s="6" t="s">
        <v>81</v>
      </c>
      <c r="D61" s="2" t="s">
        <v>83</v>
      </c>
      <c r="E61" s="3" t="s">
        <v>28</v>
      </c>
      <c r="F61" s="3" t="s">
        <v>11</v>
      </c>
    </row>
    <row r="62" spans="1:6" ht="29" x14ac:dyDescent="0.35">
      <c r="A62" s="6" t="s">
        <v>12</v>
      </c>
      <c r="B62" s="3" t="s">
        <v>80</v>
      </c>
      <c r="C62" s="6" t="s">
        <v>81</v>
      </c>
      <c r="D62" s="2" t="s">
        <v>84</v>
      </c>
      <c r="E62" s="3" t="s">
        <v>28</v>
      </c>
      <c r="F62" s="3" t="s">
        <v>11</v>
      </c>
    </row>
    <row r="63" spans="1:6" ht="29" x14ac:dyDescent="0.35">
      <c r="A63" s="6" t="s">
        <v>12</v>
      </c>
      <c r="B63" s="3" t="s">
        <v>80</v>
      </c>
      <c r="C63" s="6" t="s">
        <v>81</v>
      </c>
      <c r="D63" s="2" t="s">
        <v>85</v>
      </c>
      <c r="E63" s="3" t="s">
        <v>28</v>
      </c>
      <c r="F63" s="3" t="s">
        <v>11</v>
      </c>
    </row>
    <row r="64" spans="1:6" ht="29" x14ac:dyDescent="0.35">
      <c r="A64" s="6" t="s">
        <v>12</v>
      </c>
      <c r="B64" s="3" t="s">
        <v>80</v>
      </c>
      <c r="C64" s="6" t="s">
        <v>81</v>
      </c>
      <c r="D64" s="2" t="s">
        <v>86</v>
      </c>
      <c r="E64" s="3" t="s">
        <v>28</v>
      </c>
      <c r="F64" s="3" t="s">
        <v>11</v>
      </c>
    </row>
    <row r="65" spans="1:6" ht="29" x14ac:dyDescent="0.35">
      <c r="A65" s="6">
        <v>4</v>
      </c>
      <c r="B65" s="3" t="s">
        <v>80</v>
      </c>
      <c r="C65" s="6" t="s">
        <v>81</v>
      </c>
      <c r="D65" s="2" t="s">
        <v>87</v>
      </c>
      <c r="E65" s="3" t="s">
        <v>28</v>
      </c>
      <c r="F65" s="3"/>
    </row>
    <row r="66" spans="1:6" ht="43.5" x14ac:dyDescent="0.35">
      <c r="A66" s="6">
        <v>1.2</v>
      </c>
      <c r="B66" s="3" t="s">
        <v>80</v>
      </c>
      <c r="C66" s="6" t="s">
        <v>88</v>
      </c>
      <c r="D66" s="2" t="s">
        <v>89</v>
      </c>
      <c r="E66" s="3" t="s">
        <v>28</v>
      </c>
      <c r="F66" s="3"/>
    </row>
    <row r="67" spans="1:6" ht="43.5" x14ac:dyDescent="0.35">
      <c r="A67" s="6">
        <v>3.4</v>
      </c>
      <c r="B67" s="3" t="s">
        <v>80</v>
      </c>
      <c r="C67" s="6" t="s">
        <v>88</v>
      </c>
      <c r="D67" s="2" t="s">
        <v>90</v>
      </c>
      <c r="E67" s="3" t="s">
        <v>28</v>
      </c>
      <c r="F67" s="3"/>
    </row>
    <row r="68" spans="1:6" x14ac:dyDescent="0.35">
      <c r="A68" s="6">
        <v>1.2</v>
      </c>
      <c r="B68" s="3" t="s">
        <v>80</v>
      </c>
      <c r="C68" s="6" t="s">
        <v>88</v>
      </c>
      <c r="D68" s="2" t="s">
        <v>91</v>
      </c>
      <c r="E68" s="3" t="s">
        <v>28</v>
      </c>
      <c r="F68" s="3"/>
    </row>
    <row r="69" spans="1:6" ht="29" x14ac:dyDescent="0.35">
      <c r="A69" s="6">
        <v>3.4</v>
      </c>
      <c r="B69" s="3" t="s">
        <v>80</v>
      </c>
      <c r="C69" s="6" t="s">
        <v>88</v>
      </c>
      <c r="D69" s="2" t="s">
        <v>92</v>
      </c>
      <c r="E69" s="3" t="s">
        <v>28</v>
      </c>
      <c r="F69" s="3"/>
    </row>
    <row r="70" spans="1:6" ht="43.5" x14ac:dyDescent="0.35">
      <c r="A70" s="6" t="s">
        <v>12</v>
      </c>
      <c r="B70" s="3" t="s">
        <v>80</v>
      </c>
      <c r="C70" s="6" t="s">
        <v>88</v>
      </c>
      <c r="D70" s="2" t="s">
        <v>93</v>
      </c>
      <c r="E70" s="3" t="s">
        <v>28</v>
      </c>
      <c r="F70" s="3" t="s">
        <v>11</v>
      </c>
    </row>
    <row r="71" spans="1:6" x14ac:dyDescent="0.35">
      <c r="A71" s="6" t="s">
        <v>19</v>
      </c>
      <c r="B71" s="3" t="s">
        <v>80</v>
      </c>
      <c r="C71" s="6" t="s">
        <v>88</v>
      </c>
      <c r="D71" s="2" t="s">
        <v>94</v>
      </c>
      <c r="E71" s="3" t="s">
        <v>28</v>
      </c>
      <c r="F71" s="3"/>
    </row>
    <row r="72" spans="1:6" ht="29" x14ac:dyDescent="0.35">
      <c r="A72" s="6" t="s">
        <v>19</v>
      </c>
      <c r="B72" s="3" t="s">
        <v>80</v>
      </c>
      <c r="C72" s="6" t="s">
        <v>88</v>
      </c>
      <c r="D72" s="2" t="s">
        <v>95</v>
      </c>
      <c r="E72" s="3" t="s">
        <v>28</v>
      </c>
      <c r="F72" s="3"/>
    </row>
    <row r="73" spans="1:6" x14ac:dyDescent="0.35">
      <c r="A73" s="6">
        <v>3.4</v>
      </c>
      <c r="B73" s="3" t="s">
        <v>80</v>
      </c>
      <c r="C73" s="6" t="s">
        <v>88</v>
      </c>
      <c r="D73" s="2" t="s">
        <v>96</v>
      </c>
      <c r="E73" s="3" t="s">
        <v>28</v>
      </c>
      <c r="F73" s="3"/>
    </row>
    <row r="74" spans="1:6" x14ac:dyDescent="0.35">
      <c r="A74" s="6">
        <v>3.4</v>
      </c>
      <c r="B74" s="3" t="s">
        <v>80</v>
      </c>
      <c r="C74" s="6" t="s">
        <v>88</v>
      </c>
      <c r="D74" s="2" t="s">
        <v>97</v>
      </c>
      <c r="E74" s="3" t="s">
        <v>17</v>
      </c>
      <c r="F74" s="3"/>
    </row>
    <row r="75" spans="1:6" x14ac:dyDescent="0.35">
      <c r="A75" s="6">
        <v>4</v>
      </c>
      <c r="B75" s="3" t="s">
        <v>80</v>
      </c>
      <c r="C75" s="6" t="s">
        <v>88</v>
      </c>
      <c r="D75" s="2" t="s">
        <v>98</v>
      </c>
      <c r="E75" s="3" t="s">
        <v>28</v>
      </c>
      <c r="F75" s="3"/>
    </row>
    <row r="76" spans="1:6" x14ac:dyDescent="0.35">
      <c r="A76" s="6">
        <v>5</v>
      </c>
      <c r="B76" s="3" t="s">
        <v>80</v>
      </c>
      <c r="C76" s="6" t="s">
        <v>88</v>
      </c>
      <c r="D76" s="2" t="s">
        <v>99</v>
      </c>
      <c r="E76" s="3" t="s">
        <v>28</v>
      </c>
      <c r="F76" s="3"/>
    </row>
    <row r="77" spans="1:6" ht="29" x14ac:dyDescent="0.35">
      <c r="A77" s="6">
        <v>5</v>
      </c>
      <c r="B77" s="3" t="s">
        <v>80</v>
      </c>
      <c r="C77" s="6" t="s">
        <v>88</v>
      </c>
      <c r="D77" s="2" t="s">
        <v>100</v>
      </c>
      <c r="E77" s="3" t="s">
        <v>28</v>
      </c>
      <c r="F77" s="3"/>
    </row>
    <row r="78" spans="1:6" ht="29" x14ac:dyDescent="0.35">
      <c r="A78" s="6" t="s">
        <v>12</v>
      </c>
      <c r="B78" s="3" t="s">
        <v>80</v>
      </c>
      <c r="C78" s="6" t="s">
        <v>101</v>
      </c>
      <c r="D78" s="2" t="s">
        <v>102</v>
      </c>
      <c r="E78" s="3" t="s">
        <v>28</v>
      </c>
      <c r="F78" s="3"/>
    </row>
    <row r="79" spans="1:6" ht="29" x14ac:dyDescent="0.35">
      <c r="A79" s="6" t="s">
        <v>12</v>
      </c>
      <c r="B79" s="3" t="s">
        <v>80</v>
      </c>
      <c r="C79" s="6" t="s">
        <v>101</v>
      </c>
      <c r="D79" s="2" t="s">
        <v>103</v>
      </c>
      <c r="E79" s="3" t="s">
        <v>28</v>
      </c>
      <c r="F79" s="3" t="s">
        <v>11</v>
      </c>
    </row>
    <row r="80" spans="1:6" ht="29" x14ac:dyDescent="0.35">
      <c r="A80" s="6" t="s">
        <v>12</v>
      </c>
      <c r="B80" s="3" t="s">
        <v>80</v>
      </c>
      <c r="C80" s="6" t="s">
        <v>101</v>
      </c>
      <c r="D80" s="2" t="s">
        <v>104</v>
      </c>
      <c r="E80" s="3" t="s">
        <v>28</v>
      </c>
      <c r="F80" s="3" t="s">
        <v>11</v>
      </c>
    </row>
    <row r="81" spans="1:6" x14ac:dyDescent="0.35">
      <c r="A81" s="6" t="s">
        <v>12</v>
      </c>
      <c r="B81" s="3" t="s">
        <v>80</v>
      </c>
      <c r="C81" s="6" t="s">
        <v>101</v>
      </c>
      <c r="D81" s="2" t="s">
        <v>105</v>
      </c>
      <c r="E81" s="3" t="s">
        <v>28</v>
      </c>
      <c r="F81" s="3"/>
    </row>
    <row r="82" spans="1:6" ht="29" x14ac:dyDescent="0.35">
      <c r="A82" s="6" t="s">
        <v>12</v>
      </c>
      <c r="B82" s="3" t="s">
        <v>80</v>
      </c>
      <c r="C82" s="6" t="s">
        <v>101</v>
      </c>
      <c r="D82" s="2" t="s">
        <v>106</v>
      </c>
      <c r="E82" s="3" t="s">
        <v>28</v>
      </c>
      <c r="F82" s="3" t="s">
        <v>11</v>
      </c>
    </row>
    <row r="83" spans="1:6" x14ac:dyDescent="0.35">
      <c r="A83" s="6">
        <v>1</v>
      </c>
      <c r="B83" s="3" t="s">
        <v>80</v>
      </c>
      <c r="C83" s="6" t="s">
        <v>101</v>
      </c>
      <c r="D83" s="2" t="s">
        <v>107</v>
      </c>
      <c r="E83" s="3" t="s">
        <v>28</v>
      </c>
      <c r="F83" s="3"/>
    </row>
    <row r="84" spans="1:6" x14ac:dyDescent="0.35">
      <c r="A84" s="6" t="s">
        <v>19</v>
      </c>
      <c r="B84" s="3" t="s">
        <v>80</v>
      </c>
      <c r="C84" s="6" t="s">
        <v>101</v>
      </c>
      <c r="D84" s="2" t="s">
        <v>108</v>
      </c>
      <c r="E84" s="3" t="s">
        <v>28</v>
      </c>
      <c r="F84" s="3"/>
    </row>
    <row r="85" spans="1:6" ht="29" x14ac:dyDescent="0.35">
      <c r="A85" s="6">
        <v>3.4</v>
      </c>
      <c r="B85" s="3" t="s">
        <v>80</v>
      </c>
      <c r="C85" s="6" t="s">
        <v>101</v>
      </c>
      <c r="D85" s="2" t="s">
        <v>109</v>
      </c>
      <c r="E85" s="3" t="s">
        <v>28</v>
      </c>
      <c r="F85" s="3"/>
    </row>
    <row r="86" spans="1:6" x14ac:dyDescent="0.35">
      <c r="A86" s="6">
        <v>3.4</v>
      </c>
      <c r="B86" s="3" t="s">
        <v>80</v>
      </c>
      <c r="C86" s="6" t="s">
        <v>101</v>
      </c>
      <c r="D86" s="2" t="s">
        <v>110</v>
      </c>
      <c r="E86" s="3" t="s">
        <v>44</v>
      </c>
      <c r="F86" s="3"/>
    </row>
    <row r="87" spans="1:6" ht="29" x14ac:dyDescent="0.35">
      <c r="A87" s="6">
        <v>4</v>
      </c>
      <c r="B87" s="3" t="s">
        <v>80</v>
      </c>
      <c r="C87" s="6" t="s">
        <v>101</v>
      </c>
      <c r="D87" s="2" t="s">
        <v>111</v>
      </c>
      <c r="E87" s="3" t="s">
        <v>28</v>
      </c>
      <c r="F87" s="3"/>
    </row>
    <row r="88" spans="1:6" ht="29" x14ac:dyDescent="0.35">
      <c r="A88" s="6">
        <v>5</v>
      </c>
      <c r="B88" s="3" t="s">
        <v>80</v>
      </c>
      <c r="C88" s="6" t="s">
        <v>101</v>
      </c>
      <c r="D88" s="2" t="s">
        <v>112</v>
      </c>
      <c r="E88" s="3" t="s">
        <v>28</v>
      </c>
      <c r="F88" s="3"/>
    </row>
    <row r="89" spans="1:6" x14ac:dyDescent="0.35">
      <c r="A89" s="6">
        <v>5</v>
      </c>
      <c r="B89" s="3" t="s">
        <v>80</v>
      </c>
      <c r="C89" s="6" t="s">
        <v>101</v>
      </c>
      <c r="D89" s="2" t="s">
        <v>113</v>
      </c>
      <c r="E89" s="3" t="s">
        <v>28</v>
      </c>
      <c r="F89" s="3"/>
    </row>
    <row r="90" spans="1:6" ht="29" x14ac:dyDescent="0.35">
      <c r="A90" s="6" t="s">
        <v>12</v>
      </c>
      <c r="B90" s="3" t="s">
        <v>80</v>
      </c>
      <c r="C90" s="6" t="s">
        <v>114</v>
      </c>
      <c r="D90" s="2" t="s">
        <v>115</v>
      </c>
      <c r="E90" s="3" t="s">
        <v>28</v>
      </c>
      <c r="F90" s="3"/>
    </row>
    <row r="91" spans="1:6" x14ac:dyDescent="0.35">
      <c r="A91" s="6" t="s">
        <v>12</v>
      </c>
      <c r="B91" s="3" t="s">
        <v>80</v>
      </c>
      <c r="C91" s="6" t="s">
        <v>114</v>
      </c>
      <c r="D91" s="2" t="s">
        <v>116</v>
      </c>
      <c r="E91" s="3" t="s">
        <v>28</v>
      </c>
      <c r="F91" s="3"/>
    </row>
    <row r="92" spans="1:6" ht="29" x14ac:dyDescent="0.35">
      <c r="A92" s="6" t="s">
        <v>12</v>
      </c>
      <c r="B92" s="3" t="s">
        <v>80</v>
      </c>
      <c r="C92" s="6" t="s">
        <v>114</v>
      </c>
      <c r="D92" s="2" t="s">
        <v>117</v>
      </c>
      <c r="E92" s="3" t="s">
        <v>28</v>
      </c>
      <c r="F92" s="3"/>
    </row>
    <row r="93" spans="1:6" ht="29" x14ac:dyDescent="0.35">
      <c r="A93" s="6" t="s">
        <v>19</v>
      </c>
      <c r="B93" s="3" t="s">
        <v>80</v>
      </c>
      <c r="C93" s="6" t="s">
        <v>114</v>
      </c>
      <c r="D93" s="2" t="s">
        <v>118</v>
      </c>
      <c r="E93" s="3" t="s">
        <v>28</v>
      </c>
      <c r="F93" s="3"/>
    </row>
    <row r="94" spans="1:6" x14ac:dyDescent="0.35">
      <c r="A94" s="6" t="s">
        <v>19</v>
      </c>
      <c r="B94" s="3" t="s">
        <v>80</v>
      </c>
      <c r="C94" s="6" t="s">
        <v>114</v>
      </c>
      <c r="D94" s="2" t="s">
        <v>119</v>
      </c>
      <c r="E94" s="3" t="s">
        <v>28</v>
      </c>
      <c r="F94" s="3"/>
    </row>
    <row r="95" spans="1:6" ht="29" x14ac:dyDescent="0.35">
      <c r="A95" s="6" t="s">
        <v>19</v>
      </c>
      <c r="B95" s="3" t="s">
        <v>80</v>
      </c>
      <c r="C95" s="6" t="s">
        <v>114</v>
      </c>
      <c r="D95" s="2" t="s">
        <v>120</v>
      </c>
      <c r="E95" s="3" t="s">
        <v>28</v>
      </c>
      <c r="F95" s="3"/>
    </row>
    <row r="96" spans="1:6" ht="43.5" x14ac:dyDescent="0.35">
      <c r="A96" s="6">
        <v>3.4</v>
      </c>
      <c r="B96" s="3" t="s">
        <v>80</v>
      </c>
      <c r="C96" s="6" t="s">
        <v>114</v>
      </c>
      <c r="D96" s="2" t="s">
        <v>121</v>
      </c>
      <c r="E96" s="3" t="s">
        <v>28</v>
      </c>
      <c r="F96" s="3"/>
    </row>
    <row r="97" spans="1:6" x14ac:dyDescent="0.35">
      <c r="A97" s="6">
        <v>5</v>
      </c>
      <c r="B97" s="3" t="s">
        <v>80</v>
      </c>
      <c r="C97" s="6" t="s">
        <v>114</v>
      </c>
      <c r="D97" s="2" t="s">
        <v>122</v>
      </c>
      <c r="E97" s="3" t="s">
        <v>28</v>
      </c>
      <c r="F97" s="3"/>
    </row>
    <row r="98" spans="1:6" x14ac:dyDescent="0.35">
      <c r="A98" s="6" t="s">
        <v>12</v>
      </c>
      <c r="B98" s="6" t="s">
        <v>123</v>
      </c>
      <c r="C98" s="6" t="s">
        <v>124</v>
      </c>
      <c r="D98" s="2" t="s">
        <v>125</v>
      </c>
      <c r="E98" s="3" t="s">
        <v>126</v>
      </c>
      <c r="F98" s="3" t="s">
        <v>11</v>
      </c>
    </row>
    <row r="99" spans="1:6" x14ac:dyDescent="0.35">
      <c r="A99" s="6" t="s">
        <v>12</v>
      </c>
      <c r="B99" s="6" t="s">
        <v>123</v>
      </c>
      <c r="C99" s="6" t="s">
        <v>124</v>
      </c>
      <c r="D99" s="2" t="s">
        <v>127</v>
      </c>
      <c r="E99" s="3" t="s">
        <v>126</v>
      </c>
      <c r="F99" s="3" t="s">
        <v>11</v>
      </c>
    </row>
    <row r="100" spans="1:6" x14ac:dyDescent="0.35">
      <c r="A100" s="6" t="s">
        <v>12</v>
      </c>
      <c r="B100" s="6" t="s">
        <v>123</v>
      </c>
      <c r="C100" s="6" t="s">
        <v>124</v>
      </c>
      <c r="D100" s="2" t="s">
        <v>128</v>
      </c>
      <c r="E100" s="3" t="s">
        <v>129</v>
      </c>
      <c r="F100" s="3" t="s">
        <v>11</v>
      </c>
    </row>
    <row r="101" spans="1:6" ht="29" x14ac:dyDescent="0.35">
      <c r="A101" s="6" t="s">
        <v>12</v>
      </c>
      <c r="B101" s="6" t="s">
        <v>123</v>
      </c>
      <c r="C101" s="6" t="s">
        <v>124</v>
      </c>
      <c r="D101" s="2" t="s">
        <v>130</v>
      </c>
      <c r="E101" s="3" t="s">
        <v>126</v>
      </c>
      <c r="F101" s="3"/>
    </row>
    <row r="102" spans="1:6" x14ac:dyDescent="0.35">
      <c r="A102" s="6" t="s">
        <v>19</v>
      </c>
      <c r="B102" s="6" t="s">
        <v>123</v>
      </c>
      <c r="C102" s="6" t="s">
        <v>124</v>
      </c>
      <c r="D102" s="2" t="s">
        <v>131</v>
      </c>
      <c r="E102" s="3" t="s">
        <v>126</v>
      </c>
      <c r="F102" s="3" t="s">
        <v>11</v>
      </c>
    </row>
    <row r="103" spans="1:6" ht="29" x14ac:dyDescent="0.35">
      <c r="A103" s="6">
        <v>3.4</v>
      </c>
      <c r="B103" s="6" t="s">
        <v>123</v>
      </c>
      <c r="C103" s="6" t="s">
        <v>124</v>
      </c>
      <c r="D103" s="2" t="s">
        <v>132</v>
      </c>
      <c r="E103" s="3" t="s">
        <v>126</v>
      </c>
      <c r="F103" s="3"/>
    </row>
    <row r="104" spans="1:6" ht="29" x14ac:dyDescent="0.35">
      <c r="A104" s="6">
        <v>3.4</v>
      </c>
      <c r="B104" s="6" t="s">
        <v>123</v>
      </c>
      <c r="C104" s="6" t="s">
        <v>124</v>
      </c>
      <c r="D104" s="2" t="s">
        <v>133</v>
      </c>
      <c r="E104" s="3" t="s">
        <v>126</v>
      </c>
      <c r="F104" s="3"/>
    </row>
    <row r="105" spans="1:6" x14ac:dyDescent="0.35">
      <c r="A105" s="6">
        <v>3.4</v>
      </c>
      <c r="B105" s="6" t="s">
        <v>123</v>
      </c>
      <c r="C105" s="6" t="s">
        <v>124</v>
      </c>
      <c r="D105" s="2" t="s">
        <v>134</v>
      </c>
      <c r="E105" s="3" t="s">
        <v>129</v>
      </c>
      <c r="F105" s="3"/>
    </row>
    <row r="106" spans="1:6" x14ac:dyDescent="0.35">
      <c r="A106" s="6">
        <v>1</v>
      </c>
      <c r="B106" s="6" t="s">
        <v>123</v>
      </c>
      <c r="C106" s="6" t="s">
        <v>135</v>
      </c>
      <c r="D106" s="2" t="s">
        <v>136</v>
      </c>
      <c r="E106" s="3" t="s">
        <v>28</v>
      </c>
      <c r="F106" s="3"/>
    </row>
    <row r="107" spans="1:6" ht="29" x14ac:dyDescent="0.35">
      <c r="A107" s="6" t="s">
        <v>19</v>
      </c>
      <c r="B107" s="6" t="s">
        <v>123</v>
      </c>
      <c r="C107" s="6" t="s">
        <v>135</v>
      </c>
      <c r="D107" s="2" t="s">
        <v>137</v>
      </c>
      <c r="E107" s="3" t="s">
        <v>28</v>
      </c>
      <c r="F107" s="3"/>
    </row>
    <row r="108" spans="1:6" ht="29" x14ac:dyDescent="0.35">
      <c r="A108" s="6" t="s">
        <v>12</v>
      </c>
      <c r="B108" s="6" t="s">
        <v>123</v>
      </c>
      <c r="C108" s="6" t="s">
        <v>135</v>
      </c>
      <c r="D108" s="2" t="s">
        <v>138</v>
      </c>
      <c r="E108" s="3" t="s">
        <v>28</v>
      </c>
      <c r="F108" s="3"/>
    </row>
    <row r="109" spans="1:6" ht="29" x14ac:dyDescent="0.35">
      <c r="A109" s="6" t="s">
        <v>19</v>
      </c>
      <c r="B109" s="6" t="s">
        <v>123</v>
      </c>
      <c r="C109" s="6" t="s">
        <v>135</v>
      </c>
      <c r="D109" s="2" t="s">
        <v>139</v>
      </c>
      <c r="E109" s="3" t="s">
        <v>126</v>
      </c>
      <c r="F109" s="3"/>
    </row>
    <row r="110" spans="1:6" x14ac:dyDescent="0.35">
      <c r="A110" s="6" t="s">
        <v>19</v>
      </c>
      <c r="B110" s="6" t="s">
        <v>123</v>
      </c>
      <c r="C110" s="6" t="s">
        <v>135</v>
      </c>
      <c r="D110" s="2" t="s">
        <v>140</v>
      </c>
      <c r="E110" s="3" t="s">
        <v>126</v>
      </c>
      <c r="F110" s="3"/>
    </row>
    <row r="111" spans="1:6" x14ac:dyDescent="0.35">
      <c r="A111" s="6">
        <v>3.4</v>
      </c>
      <c r="B111" s="6" t="s">
        <v>123</v>
      </c>
      <c r="C111" s="6" t="s">
        <v>135</v>
      </c>
      <c r="D111" s="2" t="s">
        <v>141</v>
      </c>
      <c r="E111" s="3" t="s">
        <v>28</v>
      </c>
      <c r="F111" s="3"/>
    </row>
    <row r="112" spans="1:6" x14ac:dyDescent="0.35">
      <c r="A112" s="6">
        <v>3.4</v>
      </c>
      <c r="B112" s="6" t="s">
        <v>123</v>
      </c>
      <c r="C112" s="6" t="s">
        <v>135</v>
      </c>
      <c r="D112" s="2" t="s">
        <v>142</v>
      </c>
      <c r="E112" s="3" t="s">
        <v>28</v>
      </c>
      <c r="F112" s="3"/>
    </row>
    <row r="113" spans="1:6" x14ac:dyDescent="0.35">
      <c r="A113" s="6">
        <v>3.4</v>
      </c>
      <c r="B113" s="6" t="s">
        <v>123</v>
      </c>
      <c r="C113" s="6" t="s">
        <v>135</v>
      </c>
      <c r="D113" s="2" t="s">
        <v>143</v>
      </c>
      <c r="E113" s="3" t="s">
        <v>28</v>
      </c>
      <c r="F113" s="3"/>
    </row>
    <row r="114" spans="1:6" x14ac:dyDescent="0.35">
      <c r="A114" s="6">
        <v>4</v>
      </c>
      <c r="B114" s="6" t="s">
        <v>123</v>
      </c>
      <c r="C114" s="6" t="s">
        <v>135</v>
      </c>
      <c r="D114" s="2" t="s">
        <v>144</v>
      </c>
      <c r="E114" s="3" t="s">
        <v>129</v>
      </c>
      <c r="F114" s="3"/>
    </row>
    <row r="115" spans="1:6" x14ac:dyDescent="0.35">
      <c r="A115" s="6">
        <v>5</v>
      </c>
      <c r="B115" s="6" t="s">
        <v>123</v>
      </c>
      <c r="C115" s="6" t="s">
        <v>135</v>
      </c>
      <c r="D115" s="2" t="s">
        <v>145</v>
      </c>
      <c r="E115" s="3" t="s">
        <v>28</v>
      </c>
      <c r="F115" s="3"/>
    </row>
    <row r="116" spans="1:6" x14ac:dyDescent="0.35">
      <c r="A116" s="6">
        <v>5</v>
      </c>
      <c r="B116" s="6" t="s">
        <v>123</v>
      </c>
      <c r="C116" s="6" t="s">
        <v>135</v>
      </c>
      <c r="D116" s="2" t="s">
        <v>146</v>
      </c>
      <c r="E116" s="3" t="s">
        <v>28</v>
      </c>
      <c r="F116" s="3"/>
    </row>
    <row r="117" spans="1:6" x14ac:dyDescent="0.35">
      <c r="A117" s="6">
        <v>5</v>
      </c>
      <c r="B117" s="6" t="s">
        <v>123</v>
      </c>
      <c r="C117" s="6" t="s">
        <v>135</v>
      </c>
      <c r="D117" s="2" t="s">
        <v>147</v>
      </c>
      <c r="E117" s="3" t="s">
        <v>28</v>
      </c>
      <c r="F117" s="3"/>
    </row>
    <row r="118" spans="1:6" x14ac:dyDescent="0.35">
      <c r="A118" s="6" t="s">
        <v>12</v>
      </c>
      <c r="B118" s="6" t="s">
        <v>123</v>
      </c>
      <c r="C118" s="6" t="s">
        <v>148</v>
      </c>
      <c r="D118" s="2" t="s">
        <v>149</v>
      </c>
      <c r="E118" s="3" t="s">
        <v>44</v>
      </c>
      <c r="F118" s="3"/>
    </row>
    <row r="119" spans="1:6" x14ac:dyDescent="0.35">
      <c r="A119" s="6" t="s">
        <v>12</v>
      </c>
      <c r="B119" s="6" t="s">
        <v>123</v>
      </c>
      <c r="C119" s="6" t="s">
        <v>148</v>
      </c>
      <c r="D119" s="2" t="s">
        <v>150</v>
      </c>
      <c r="E119" s="3" t="s">
        <v>28</v>
      </c>
      <c r="F119" s="3"/>
    </row>
    <row r="120" spans="1:6" x14ac:dyDescent="0.35">
      <c r="A120" s="6" t="s">
        <v>12</v>
      </c>
      <c r="B120" s="6" t="s">
        <v>123</v>
      </c>
      <c r="C120" s="6" t="s">
        <v>148</v>
      </c>
      <c r="D120" s="2" t="s">
        <v>151</v>
      </c>
      <c r="E120" s="3" t="s">
        <v>44</v>
      </c>
      <c r="F120" s="3"/>
    </row>
    <row r="121" spans="1:6" x14ac:dyDescent="0.35">
      <c r="A121" s="6" t="s">
        <v>19</v>
      </c>
      <c r="B121" s="6" t="s">
        <v>123</v>
      </c>
      <c r="C121" s="6" t="s">
        <v>148</v>
      </c>
      <c r="D121" s="2" t="s">
        <v>152</v>
      </c>
      <c r="E121" s="3" t="s">
        <v>44</v>
      </c>
      <c r="F121" s="3"/>
    </row>
    <row r="122" spans="1:6" ht="43.5" x14ac:dyDescent="0.35">
      <c r="A122" s="6" t="s">
        <v>19</v>
      </c>
      <c r="B122" s="6" t="s">
        <v>123</v>
      </c>
      <c r="C122" s="6" t="s">
        <v>148</v>
      </c>
      <c r="D122" s="2" t="s">
        <v>153</v>
      </c>
      <c r="E122" s="3" t="s">
        <v>44</v>
      </c>
      <c r="F122" s="3"/>
    </row>
    <row r="123" spans="1:6" x14ac:dyDescent="0.35">
      <c r="A123" s="6">
        <v>2</v>
      </c>
      <c r="B123" s="6" t="s">
        <v>123</v>
      </c>
      <c r="C123" s="6" t="s">
        <v>148</v>
      </c>
      <c r="D123" s="2" t="s">
        <v>154</v>
      </c>
      <c r="E123" s="3" t="s">
        <v>44</v>
      </c>
      <c r="F123" s="3"/>
    </row>
    <row r="124" spans="1:6" x14ac:dyDescent="0.35">
      <c r="A124" s="6">
        <v>3</v>
      </c>
      <c r="B124" s="6" t="s">
        <v>123</v>
      </c>
      <c r="C124" s="6" t="s">
        <v>148</v>
      </c>
      <c r="D124" s="2" t="s">
        <v>155</v>
      </c>
      <c r="E124" s="3" t="s">
        <v>44</v>
      </c>
      <c r="F124" s="3"/>
    </row>
    <row r="125" spans="1:6" x14ac:dyDescent="0.35">
      <c r="A125" s="6">
        <v>4</v>
      </c>
      <c r="B125" s="6" t="s">
        <v>123</v>
      </c>
      <c r="C125" s="6" t="s">
        <v>148</v>
      </c>
      <c r="D125" s="2" t="s">
        <v>156</v>
      </c>
      <c r="E125" s="3" t="s">
        <v>44</v>
      </c>
      <c r="F125" s="3"/>
    </row>
    <row r="126" spans="1:6" x14ac:dyDescent="0.35">
      <c r="A126" s="6">
        <v>3.4</v>
      </c>
      <c r="B126" s="6" t="s">
        <v>123</v>
      </c>
      <c r="C126" s="6" t="s">
        <v>148</v>
      </c>
      <c r="D126" s="2" t="s">
        <v>157</v>
      </c>
      <c r="E126" s="3" t="s">
        <v>44</v>
      </c>
      <c r="F126" s="3"/>
    </row>
    <row r="127" spans="1:6" x14ac:dyDescent="0.35">
      <c r="A127" s="6">
        <v>3.4</v>
      </c>
      <c r="B127" s="6" t="s">
        <v>123</v>
      </c>
      <c r="C127" s="6" t="s">
        <v>148</v>
      </c>
      <c r="D127" s="2" t="s">
        <v>158</v>
      </c>
      <c r="E127" s="3" t="s">
        <v>44</v>
      </c>
      <c r="F127" s="3"/>
    </row>
    <row r="128" spans="1:6" x14ac:dyDescent="0.35">
      <c r="A128" s="6">
        <v>4</v>
      </c>
      <c r="B128" s="6" t="s">
        <v>123</v>
      </c>
      <c r="C128" s="6" t="s">
        <v>148</v>
      </c>
      <c r="D128" s="2" t="s">
        <v>159</v>
      </c>
      <c r="E128" s="3" t="s">
        <v>44</v>
      </c>
      <c r="F128" s="3"/>
    </row>
    <row r="129" spans="1:6" x14ac:dyDescent="0.35">
      <c r="A129" s="6">
        <v>4</v>
      </c>
      <c r="B129" s="6" t="s">
        <v>123</v>
      </c>
      <c r="C129" s="6" t="s">
        <v>148</v>
      </c>
      <c r="D129" s="2" t="s">
        <v>160</v>
      </c>
      <c r="E129" s="3" t="s">
        <v>44</v>
      </c>
      <c r="F129" s="3"/>
    </row>
    <row r="130" spans="1:6" ht="29" x14ac:dyDescent="0.35">
      <c r="A130" s="6">
        <v>4</v>
      </c>
      <c r="B130" s="6" t="s">
        <v>123</v>
      </c>
      <c r="C130" s="6" t="s">
        <v>148</v>
      </c>
      <c r="D130" s="2" t="s">
        <v>161</v>
      </c>
      <c r="E130" s="3" t="s">
        <v>44</v>
      </c>
      <c r="F130" s="3"/>
    </row>
    <row r="131" spans="1:6" x14ac:dyDescent="0.35">
      <c r="A131" s="6">
        <v>4</v>
      </c>
      <c r="B131" s="6" t="s">
        <v>123</v>
      </c>
      <c r="C131" s="6" t="s">
        <v>148</v>
      </c>
      <c r="D131" s="2" t="s">
        <v>162</v>
      </c>
      <c r="E131" s="3" t="s">
        <v>44</v>
      </c>
      <c r="F131" s="3"/>
    </row>
    <row r="132" spans="1:6" x14ac:dyDescent="0.35">
      <c r="A132" s="6">
        <v>5</v>
      </c>
      <c r="B132" s="6" t="s">
        <v>123</v>
      </c>
      <c r="C132" s="6" t="s">
        <v>148</v>
      </c>
      <c r="D132" s="2" t="s">
        <v>163</v>
      </c>
      <c r="E132" s="3" t="s">
        <v>44</v>
      </c>
      <c r="F132" s="3"/>
    </row>
    <row r="133" spans="1:6" ht="29" x14ac:dyDescent="0.35">
      <c r="A133" s="6">
        <v>5</v>
      </c>
      <c r="B133" s="6" t="s">
        <v>123</v>
      </c>
      <c r="C133" s="6" t="s">
        <v>148</v>
      </c>
      <c r="D133" s="2" t="s">
        <v>164</v>
      </c>
      <c r="E133" s="3" t="s">
        <v>44</v>
      </c>
      <c r="F133" s="3"/>
    </row>
  </sheetData>
  <pageMargins left="0.7" right="0.7" top="0.75" bottom="0.75" header="0.3" footer="0.3"/>
  <pageSetup paperSize="9" orientation="portrait" horizontalDpi="4294967293"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2DA4-0E58-4934-AFA6-56C51C74A68B}">
  <sheetPr>
    <tabColor rgb="FFBB90FF"/>
  </sheetPr>
  <dimension ref="X6"/>
  <sheetViews>
    <sheetView showGridLines="0" workbookViewId="0">
      <selection activeCell="V45" sqref="V45"/>
    </sheetView>
  </sheetViews>
  <sheetFormatPr defaultRowHeight="14.5" x14ac:dyDescent="0.35"/>
  <sheetData>
    <row r="6" spans="24:24" x14ac:dyDescent="0.35">
      <c r="X6" s="165"/>
    </row>
  </sheetData>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B804B-B4D9-4B39-B055-4F22B107DE81}">
  <sheetPr codeName="Sheet2">
    <tabColor rgb="FFD0EF67"/>
  </sheetPr>
  <dimension ref="A1:AH72"/>
  <sheetViews>
    <sheetView showGridLines="0" workbookViewId="0">
      <pane ySplit="4" topLeftCell="A5" activePane="bottomLeft" state="frozen"/>
      <selection activeCell="B1" sqref="B1"/>
      <selection pane="bottomLeft" activeCell="S6" sqref="S6"/>
    </sheetView>
  </sheetViews>
  <sheetFormatPr defaultColWidth="8.81640625" defaultRowHeight="14.5" x14ac:dyDescent="0.35"/>
  <cols>
    <col min="1" max="1" width="8.1796875" style="6" hidden="1" customWidth="1"/>
    <col min="2" max="2" width="11.36328125" style="6" hidden="1" customWidth="1"/>
    <col min="3" max="3" width="11.90625" style="6" hidden="1" customWidth="1"/>
    <col min="4" max="7" width="7.54296875" style="6" hidden="1" customWidth="1"/>
    <col min="8" max="10" width="9.453125" style="6" hidden="1" customWidth="1"/>
    <col min="11" max="11" width="28" style="9" hidden="1" customWidth="1"/>
    <col min="12" max="12" width="90.6328125" style="9" hidden="1" customWidth="1"/>
    <col min="13" max="13" width="8.90625" style="12" hidden="1" customWidth="1"/>
    <col min="14" max="14" width="8.90625" style="17" hidden="1" customWidth="1"/>
    <col min="15" max="15" width="8.90625" style="17" customWidth="1"/>
    <col min="16" max="16" width="9.36328125" style="16" customWidth="1"/>
    <col min="17" max="17" width="9.36328125" style="16" hidden="1" customWidth="1"/>
    <col min="18" max="18" width="119.54296875" style="2" customWidth="1"/>
    <col min="19" max="19" width="8.81640625" style="16"/>
    <col min="20" max="22" width="8.81640625" style="18" hidden="1" customWidth="1"/>
    <col min="23" max="16384" width="8.81640625" style="6"/>
  </cols>
  <sheetData>
    <row r="1" spans="1:34" x14ac:dyDescent="0.35">
      <c r="A1" s="169"/>
      <c r="B1" s="169"/>
      <c r="C1" s="169"/>
      <c r="D1" s="169"/>
      <c r="E1" s="169"/>
      <c r="F1" s="169"/>
      <c r="G1" s="169"/>
      <c r="H1" s="169"/>
      <c r="I1" s="169"/>
      <c r="J1" s="169"/>
      <c r="K1" s="170"/>
      <c r="L1" s="170"/>
      <c r="M1" s="171"/>
      <c r="N1" s="172"/>
      <c r="O1" s="119"/>
      <c r="P1" s="120"/>
      <c r="Q1" s="120"/>
      <c r="R1" s="131"/>
      <c r="S1" s="160" t="s">
        <v>272</v>
      </c>
      <c r="W1" s="129"/>
      <c r="X1" s="129"/>
      <c r="Y1" s="129"/>
      <c r="Z1" s="129"/>
      <c r="AA1" s="129"/>
      <c r="AB1" s="129"/>
      <c r="AC1" s="129"/>
      <c r="AD1" s="129"/>
      <c r="AE1" s="129"/>
      <c r="AF1" s="129"/>
      <c r="AG1" s="129"/>
      <c r="AH1" s="129"/>
    </row>
    <row r="2" spans="1:34" ht="20" x14ac:dyDescent="0.4">
      <c r="A2" s="169"/>
      <c r="B2" s="169"/>
      <c r="C2" s="169"/>
      <c r="D2" s="169"/>
      <c r="E2" s="169"/>
      <c r="F2" s="169"/>
      <c r="G2" s="169"/>
      <c r="H2" s="169"/>
      <c r="I2" s="169"/>
      <c r="J2" s="169"/>
      <c r="K2" s="170"/>
      <c r="L2" s="170"/>
      <c r="M2" s="171"/>
      <c r="N2" s="172"/>
      <c r="O2" s="119"/>
      <c r="P2" s="139" t="s">
        <v>7</v>
      </c>
      <c r="Q2" s="120"/>
      <c r="R2" s="131"/>
      <c r="S2" s="120"/>
      <c r="W2" s="129"/>
      <c r="X2" s="129"/>
      <c r="Y2" s="129"/>
      <c r="Z2" s="129"/>
      <c r="AA2" s="129"/>
      <c r="AB2" s="129"/>
      <c r="AC2" s="129"/>
      <c r="AD2" s="129"/>
      <c r="AE2" s="129"/>
      <c r="AF2" s="129"/>
      <c r="AG2" s="129"/>
      <c r="AH2" s="129"/>
    </row>
    <row r="3" spans="1:34" ht="19.75" customHeight="1" x14ac:dyDescent="0.4">
      <c r="A3" s="164" t="s">
        <v>273</v>
      </c>
      <c r="B3" s="164"/>
      <c r="C3" s="164"/>
      <c r="D3" s="164"/>
      <c r="E3" s="164"/>
      <c r="F3" s="164"/>
      <c r="G3" s="164"/>
      <c r="H3" s="164"/>
      <c r="I3" s="164"/>
      <c r="J3" s="169"/>
      <c r="K3" s="170"/>
      <c r="L3" s="170"/>
      <c r="M3" s="171"/>
      <c r="N3" s="172"/>
      <c r="O3" s="119"/>
      <c r="P3" s="120"/>
      <c r="Q3" s="120"/>
      <c r="R3" s="143" t="str">
        <f>'TEKNINEN - TulostenLasku'!$C$51</f>
        <v>Vastattu 0 %:iin vesilaitostanne koskevista pakollisista kysymyksistä.</v>
      </c>
      <c r="S3" s="120"/>
      <c r="W3" s="129"/>
      <c r="X3" s="129"/>
      <c r="Y3" s="129"/>
      <c r="Z3" s="129"/>
      <c r="AA3" s="129"/>
      <c r="AB3" s="129"/>
      <c r="AC3" s="129"/>
      <c r="AD3" s="129"/>
      <c r="AE3" s="129"/>
      <c r="AF3" s="129"/>
      <c r="AG3" s="129"/>
      <c r="AH3" s="129"/>
    </row>
    <row r="4" spans="1:34" ht="46.5" customHeight="1" x14ac:dyDescent="0.35">
      <c r="A4" s="168" t="s">
        <v>176</v>
      </c>
      <c r="B4" s="71" t="s">
        <v>0</v>
      </c>
      <c r="C4" s="168" t="s">
        <v>175</v>
      </c>
      <c r="D4" s="115" t="s">
        <v>252</v>
      </c>
      <c r="E4" s="115" t="s">
        <v>253</v>
      </c>
      <c r="F4" s="115" t="s">
        <v>254</v>
      </c>
      <c r="G4" s="115" t="s">
        <v>255</v>
      </c>
      <c r="H4" s="71" t="s">
        <v>223</v>
      </c>
      <c r="I4" s="71" t="s">
        <v>183</v>
      </c>
      <c r="J4" s="71" t="s">
        <v>259</v>
      </c>
      <c r="K4" s="115" t="s">
        <v>1</v>
      </c>
      <c r="L4" s="115" t="s">
        <v>228</v>
      </c>
      <c r="M4" s="72" t="s">
        <v>226</v>
      </c>
      <c r="N4" s="72" t="s">
        <v>205</v>
      </c>
      <c r="O4" s="134" t="s">
        <v>225</v>
      </c>
      <c r="P4" s="134" t="s">
        <v>224</v>
      </c>
      <c r="Q4" s="135" t="s">
        <v>227</v>
      </c>
      <c r="R4" s="132" t="s">
        <v>199</v>
      </c>
      <c r="S4" s="133" t="s">
        <v>174</v>
      </c>
      <c r="T4" s="116" t="s">
        <v>185</v>
      </c>
      <c r="U4" s="116" t="s">
        <v>250</v>
      </c>
      <c r="V4" s="116" t="s">
        <v>184</v>
      </c>
      <c r="W4" s="129"/>
      <c r="X4" s="129"/>
      <c r="Y4" s="129"/>
      <c r="Z4" s="129"/>
      <c r="AA4" s="140"/>
      <c r="AB4" s="141"/>
      <c r="AC4" s="129"/>
      <c r="AD4" s="142"/>
      <c r="AE4" s="129"/>
      <c r="AF4" s="129"/>
      <c r="AG4" s="129"/>
      <c r="AH4" s="129"/>
    </row>
    <row r="5" spans="1:34" ht="28.5" x14ac:dyDescent="0.35">
      <c r="A5" s="3" t="s">
        <v>6</v>
      </c>
      <c r="B5" s="3" t="str">
        <f>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f>
        <v>Ei kuulu</v>
      </c>
      <c r="C5" s="3" t="s">
        <v>28</v>
      </c>
      <c r="D5" s="3" t="str">
        <f>IF(ISNUMBER(SEARCH(LV!$I$5, Turvallinen_ja_toimintavarma!C5)), "K", "E")</f>
        <v>E</v>
      </c>
      <c r="E5" s="3" t="str">
        <f>IF(ISNUMBER(SEARCH(LV!$I$6, Turvallinen_ja_toimintavarma!$C5)), "K", "E")</f>
        <v>E</v>
      </c>
      <c r="F5" s="3" t="str">
        <f>IF(ISNUMBER(SEARCH(LV!$I$7, Turvallinen_ja_toimintavarma!$C5)), "K", "E")</f>
        <v>E</v>
      </c>
      <c r="G5" s="3" t="str">
        <f>IF(ISNUMBER(SEARCH(LV!$I$8, Turvallinen_ja_toimintavarma!$C5)), "K", "E")</f>
        <v>E</v>
      </c>
      <c r="H5" s="3" t="str">
        <f>IF(OR(KysymyksetTaulukko[[#This Row],[Toimiala A]]="K",KysymyksetTaulukko[[#This Row],[Toimiala B]]="K",KysymyksetTaulukko[[#This Row],[Toimiala C]]="K",KysymyksetTaulukko[[#This Row],[Toimiala D]]="K"),"Kuuluu","Ei kuulu")</f>
        <v>Ei kuulu</v>
      </c>
      <c r="I5" s="3" t="str">
        <f>IF(OR(KysymyksetTaulukko[[#This Row],[Luokka]]="Ei kuulu",KysymyksetTaulukko[[#This Row],[Toimiala-
kysymys]]="Ei kuulu"), "Ei kuulu", "Kuuluu")</f>
        <v>Ei kuulu</v>
      </c>
      <c r="J5" s="3" t="str">
        <f>IF(KysymyksetTaulukko[[#This Row],[Luokka + toimiala]]="Kuuluu","a) Oman vesilaitoksen kysymykset","b) Muut kysymykset")</f>
        <v>b) Muut kysymykset</v>
      </c>
      <c r="K5" s="125" t="s">
        <v>7</v>
      </c>
      <c r="L5" s="9" t="s">
        <v>241</v>
      </c>
      <c r="M5" s="59" t="str">
        <f>LEFT(KysymyksetTaulukko[[#This Row],[Alakategoria_]],2)</f>
        <v>_O</v>
      </c>
      <c r="N5" s="107"/>
      <c r="O5" s="66"/>
      <c r="P5" s="67" t="str">
        <f>IF(AND(KysymyksetTaulukko[[#This Row],[Luokka]]="Extra",KysymyksetTaulukko[[#This Row],[Luokka + toimiala]]="Kuuluu"),"Extra","")</f>
        <v/>
      </c>
      <c r="Q5" s="112" t="s">
        <v>177</v>
      </c>
      <c r="R5" s="128" t="s">
        <v>8</v>
      </c>
      <c r="S5" s="158"/>
      <c r="T5" s="121">
        <f>IF(AND(KysymyksetTaulukko[[#This Row],[Luokka + toimiala]]="Kuuluu",KysymyksetTaulukko[[#This Row],[Vastaus]]="Kyllä"),1,0)</f>
        <v>0</v>
      </c>
      <c r="U5" s="121">
        <f>IF(AND(KysymyksetTaulukko[[#This Row],[Maksimipisteet]]=1,NOT(ISBLANK(KysymyksetTaulukko[[#This Row],[Vastaus]]))),1,0)</f>
        <v>0</v>
      </c>
      <c r="V5" s="121">
        <f>IF(OR(KysymyksetTaulukko[[#This Row],[Luokka + toimiala]]="Ei kuulu",KysymyksetTaulukko[[#This Row],[Vastaus]]="Ei koske",KysymyksetTaulukko[[#This Row],[Luokka]]="Extra",KysymyksetTaulukko[[#This Row],[Otsikkorivi]]="Kyllä"),0,1)</f>
        <v>0</v>
      </c>
      <c r="AA5" s="57"/>
      <c r="AB5" s="58"/>
    </row>
    <row r="6" spans="1:34" ht="29" x14ac:dyDescent="0.35">
      <c r="A6" s="3" t="s">
        <v>6</v>
      </c>
      <c r="B6" s="3" t="str">
        <f>IF(ISNUMBER(SEARCH("," &amp; LV!$B$10 &amp; ",", "," &amp; SUBSTITUTE(A6, " ", "")&amp; ",")),
  "Kuuluu",
  IF(AND(LV!$B$10&gt;=2,
      LV!$B$10&lt;=4,
      OR(ISNUMBER(SEARCH("," &amp;(LV!$B$10+1)&amp; ",", "," &amp; SUBSTITUTE(A6, " ", "")&amp; ",")),
        ISNUMBER(SEARCH("," &amp;(LV!$B$10+2)&amp; ",", "," &amp; SUBSTITUTE(A6, " ", "")&amp; ",")),
        ISNUMBER(SEARCH("," &amp;(LV!$B$10+3)&amp; ",", "," &amp; SUBSTITUTE(A6, " ", "")&amp; ",")),
        ISNUMBER(SEARCH("," &amp;(LV!$B$10+4)&amp; ",", "," &amp; SUBSTITUTE(A6, " ", "")&amp; ",")),
        ISNUMBER(SEARCH("," &amp;(LV!$B$10+5)&amp; ",", "," &amp; SUBSTITUTE(A6, " ", "")&amp; ",")))),
    "Extra",
    "Ei kuulu"))</f>
        <v>Ei kuulu</v>
      </c>
      <c r="C6" s="3" t="s">
        <v>10</v>
      </c>
      <c r="D6" s="3" t="str">
        <f>IF(ISNUMBER(SEARCH(LV!$I$5, Turvallinen_ja_toimintavarma!C6)), "K", "E")</f>
        <v>E</v>
      </c>
      <c r="E6" s="3" t="str">
        <f>IF(ISNUMBER(SEARCH(LV!$I$6, Turvallinen_ja_toimintavarma!$C6)), "K", "E")</f>
        <v>E</v>
      </c>
      <c r="F6" s="3" t="str">
        <f>IF(ISNUMBER(SEARCH(LV!$I$7, Turvallinen_ja_toimintavarma!$C6)), "K", "E")</f>
        <v>E</v>
      </c>
      <c r="G6" s="3" t="str">
        <f>IF(ISNUMBER(SEARCH(LV!$I$8, Turvallinen_ja_toimintavarma!$C6)), "K", "E")</f>
        <v>E</v>
      </c>
      <c r="H6" s="3" t="str">
        <f>IF(OR(KysymyksetTaulukko[[#This Row],[Toimiala A]]="K",KysymyksetTaulukko[[#This Row],[Toimiala B]]="K",KysymyksetTaulukko[[#This Row],[Toimiala C]]="K",KysymyksetTaulukko[[#This Row],[Toimiala D]]="K"),"Kuuluu","Ei kuulu")</f>
        <v>Ei kuulu</v>
      </c>
      <c r="I6" s="3" t="str">
        <f>IF(OR(KysymyksetTaulukko[[#This Row],[Luokka]]="Ei kuulu",KysymyksetTaulukko[[#This Row],[Toimiala-
kysymys]]="Ei kuulu"), "Ei kuulu", "Kuuluu")</f>
        <v>Ei kuulu</v>
      </c>
      <c r="J6" s="3" t="str">
        <f>IF(KysymyksetTaulukko[[#This Row],[Luokka + toimiala]]="Kuuluu","a) Oman vesilaitoksen kysymykset","b) Muut kysymykset")</f>
        <v>b) Muut kysymykset</v>
      </c>
      <c r="K6" s="125" t="s">
        <v>7</v>
      </c>
      <c r="L6" s="9" t="s">
        <v>8</v>
      </c>
      <c r="M6" s="59" t="str">
        <f>LEFT(KysymyksetTaulukko[[#This Row],[Alakategoria_]],2)</f>
        <v>1.</v>
      </c>
      <c r="N6" s="108" t="s">
        <v>11</v>
      </c>
      <c r="O6" s="68" t="s">
        <v>206</v>
      </c>
      <c r="P6" s="69" t="str">
        <f>IF(AND(KysymyksetTaulukko[[#This Row],[Luokka]]="Extra",KysymyksetTaulukko[[#This Row],[Luokka + toimiala]]="Kuuluu"),"Extra","")</f>
        <v/>
      </c>
      <c r="Q6" s="113"/>
      <c r="R6" s="63" t="s">
        <v>9</v>
      </c>
      <c r="S6" s="159"/>
      <c r="T6" s="122">
        <f>IF(AND(KysymyksetTaulukko[[#This Row],[Luokka + toimiala]]="Kuuluu",KysymyksetTaulukko[[#This Row],[Vastaus]]="Kyllä"),1,0)</f>
        <v>0</v>
      </c>
      <c r="U6" s="121">
        <f>IF(AND(KysymyksetTaulukko[[#This Row],[Maksimipisteet]]=1,NOT(ISBLANK(KysymyksetTaulukko[[#This Row],[Vastaus]]))),1,0)</f>
        <v>0</v>
      </c>
      <c r="V6" s="122">
        <f>IF(OR(KysymyksetTaulukko[[#This Row],[Luokka + toimiala]]="Ei kuulu",KysymyksetTaulukko[[#This Row],[Vastaus]]="Ei koske",KysymyksetTaulukko[[#This Row],[Luokka]]="Extra",KysymyksetTaulukko[[#This Row],[Otsikkorivi]]="Kyllä"),0,1)</f>
        <v>0</v>
      </c>
    </row>
    <row r="7" spans="1:34" ht="28.5" x14ac:dyDescent="0.35">
      <c r="A7" s="3" t="s">
        <v>12</v>
      </c>
      <c r="B7" s="3" t="str">
        <f>IF(ISNUMBER(SEARCH("," &amp; LV!$B$10 &amp; ",", "," &amp; SUBSTITUTE(A7, " ", "")&amp; ",")),
  "Kuuluu",
  IF(AND(LV!$B$10&gt;=2,
      LV!$B$10&lt;=4,
      OR(ISNUMBER(SEARCH("," &amp;(LV!$B$10+1)&amp; ",", "," &amp; SUBSTITUTE(A7, " ", "")&amp; ",")),
        ISNUMBER(SEARCH("," &amp;(LV!$B$10+2)&amp; ",", "," &amp; SUBSTITUTE(A7, " ", "")&amp; ",")),
        ISNUMBER(SEARCH("," &amp;(LV!$B$10+3)&amp; ",", "," &amp; SUBSTITUTE(A7, " ", "")&amp; ",")),
        ISNUMBER(SEARCH("," &amp;(LV!$B$10+4)&amp; ",", "," &amp; SUBSTITUTE(A7, " ", "")&amp; ",")),
        ISNUMBER(SEARCH("," &amp;(LV!$B$10+5)&amp; ",", "," &amp; SUBSTITUTE(A7, " ", "")&amp; ",")))),
    "Extra",
    "Ei kuulu"))</f>
        <v>Ei kuulu</v>
      </c>
      <c r="C7" s="3" t="s">
        <v>10</v>
      </c>
      <c r="D7" s="3" t="str">
        <f>IF(ISNUMBER(SEARCH(LV!$I$5, Turvallinen_ja_toimintavarma!C7)), "K", "E")</f>
        <v>E</v>
      </c>
      <c r="E7" s="3" t="str">
        <f>IF(ISNUMBER(SEARCH(LV!$I$6, Turvallinen_ja_toimintavarma!$C7)), "K", "E")</f>
        <v>E</v>
      </c>
      <c r="F7" s="3" t="str">
        <f>IF(ISNUMBER(SEARCH(LV!$I$7, Turvallinen_ja_toimintavarma!$C7)), "K", "E")</f>
        <v>E</v>
      </c>
      <c r="G7" s="3" t="str">
        <f>IF(ISNUMBER(SEARCH(LV!$I$8, Turvallinen_ja_toimintavarma!$C7)), "K", "E")</f>
        <v>E</v>
      </c>
      <c r="H7" s="3" t="str">
        <f>IF(OR(KysymyksetTaulukko[[#This Row],[Toimiala A]]="K",KysymyksetTaulukko[[#This Row],[Toimiala B]]="K",KysymyksetTaulukko[[#This Row],[Toimiala C]]="K",KysymyksetTaulukko[[#This Row],[Toimiala D]]="K"),"Kuuluu","Ei kuulu")</f>
        <v>Ei kuulu</v>
      </c>
      <c r="I7" s="3" t="str">
        <f>IF(OR(KysymyksetTaulukko[[#This Row],[Luokka]]="Ei kuulu",KysymyksetTaulukko[[#This Row],[Toimiala-
kysymys]]="Ei kuulu"), "Ei kuulu", "Kuuluu")</f>
        <v>Ei kuulu</v>
      </c>
      <c r="J7" s="3" t="str">
        <f>IF(KysymyksetTaulukko[[#This Row],[Luokka + toimiala]]="Kuuluu","a) Oman vesilaitoksen kysymykset","b) Muut kysymykset")</f>
        <v>b) Muut kysymykset</v>
      </c>
      <c r="K7" s="125" t="s">
        <v>7</v>
      </c>
      <c r="L7" s="9" t="s">
        <v>8</v>
      </c>
      <c r="M7" s="60" t="str">
        <f>LEFT(KysymyksetTaulukko[[#This Row],[Alakategoria_]],2)</f>
        <v>1.</v>
      </c>
      <c r="N7" s="107" t="s">
        <v>11</v>
      </c>
      <c r="O7" s="70" t="s">
        <v>206</v>
      </c>
      <c r="P7" s="67" t="str">
        <f>IF(AND(KysymyksetTaulukko[[#This Row],[Luokka]]="Extra",KysymyksetTaulukko[[#This Row],[Luokka + toimiala]]="Kuuluu"),"Extra","")</f>
        <v/>
      </c>
      <c r="Q7" s="114"/>
      <c r="R7" s="64" t="s">
        <v>13</v>
      </c>
      <c r="S7" s="159"/>
      <c r="T7" s="123">
        <f>IF(AND(KysymyksetTaulukko[[#This Row],[Luokka + toimiala]]="Kuuluu",KysymyksetTaulukko[[#This Row],[Vastaus]]="Kyllä"),1,0)</f>
        <v>0</v>
      </c>
      <c r="U7" s="121">
        <f>IF(AND(KysymyksetTaulukko[[#This Row],[Maksimipisteet]]=1,NOT(ISBLANK(KysymyksetTaulukko[[#This Row],[Vastaus]]))),1,0)</f>
        <v>0</v>
      </c>
      <c r="V7" s="123">
        <f>IF(OR(KysymyksetTaulukko[[#This Row],[Luokka + toimiala]]="Ei kuulu",KysymyksetTaulukko[[#This Row],[Vastaus]]="Ei koske",KysymyksetTaulukko[[#This Row],[Luokka]]="Extra",KysymyksetTaulukko[[#This Row],[Otsikkorivi]]="Kyllä"),0,1)</f>
        <v>0</v>
      </c>
    </row>
    <row r="8" spans="1:34" ht="28.5" x14ac:dyDescent="0.35">
      <c r="A8" s="3" t="s">
        <v>12</v>
      </c>
      <c r="B8" s="3" t="str">
        <f>IF(ISNUMBER(SEARCH("," &amp; LV!$B$10 &amp; ",", "," &amp; SUBSTITUTE(A8, " ", "")&amp; ",")),
  "Kuuluu",
  IF(AND(LV!$B$10&gt;=2,
      LV!$B$10&lt;=4,
      OR(ISNUMBER(SEARCH("," &amp;(LV!$B$10+1)&amp; ",", "," &amp; SUBSTITUTE(A8, " ", "")&amp; ",")),
        ISNUMBER(SEARCH("," &amp;(LV!$B$10+2)&amp; ",", "," &amp; SUBSTITUTE(A8, " ", "")&amp; ",")),
        ISNUMBER(SEARCH("," &amp;(LV!$B$10+3)&amp; ",", "," &amp; SUBSTITUTE(A8, " ", "")&amp; ",")),
        ISNUMBER(SEARCH("," &amp;(LV!$B$10+4)&amp; ",", "," &amp; SUBSTITUTE(A8, " ", "")&amp; ",")),
        ISNUMBER(SEARCH("," &amp;(LV!$B$10+5)&amp; ",", "," &amp; SUBSTITUTE(A8, " ", "")&amp; ",")))),
    "Extra",
    "Ei kuulu"))</f>
        <v>Ei kuulu</v>
      </c>
      <c r="C8" s="3" t="s">
        <v>10</v>
      </c>
      <c r="D8" s="3" t="str">
        <f>IF(ISNUMBER(SEARCH(LV!$I$5, Turvallinen_ja_toimintavarma!C8)), "K", "E")</f>
        <v>E</v>
      </c>
      <c r="E8" s="3" t="str">
        <f>IF(ISNUMBER(SEARCH(LV!$I$6, Turvallinen_ja_toimintavarma!$C8)), "K", "E")</f>
        <v>E</v>
      </c>
      <c r="F8" s="3" t="str">
        <f>IF(ISNUMBER(SEARCH(LV!$I$7, Turvallinen_ja_toimintavarma!$C8)), "K", "E")</f>
        <v>E</v>
      </c>
      <c r="G8" s="3" t="str">
        <f>IF(ISNUMBER(SEARCH(LV!$I$8, Turvallinen_ja_toimintavarma!$C8)), "K", "E")</f>
        <v>E</v>
      </c>
      <c r="H8" s="3" t="str">
        <f>IF(OR(KysymyksetTaulukko[[#This Row],[Toimiala A]]="K",KysymyksetTaulukko[[#This Row],[Toimiala B]]="K",KysymyksetTaulukko[[#This Row],[Toimiala C]]="K",KysymyksetTaulukko[[#This Row],[Toimiala D]]="K"),"Kuuluu","Ei kuulu")</f>
        <v>Ei kuulu</v>
      </c>
      <c r="I8" s="3" t="str">
        <f>IF(OR(KysymyksetTaulukko[[#This Row],[Luokka]]="Ei kuulu",KysymyksetTaulukko[[#This Row],[Toimiala-
kysymys]]="Ei kuulu"), "Ei kuulu", "Kuuluu")</f>
        <v>Ei kuulu</v>
      </c>
      <c r="J8" s="3" t="str">
        <f>IF(KysymyksetTaulukko[[#This Row],[Luokka + toimiala]]="Kuuluu","a) Oman vesilaitoksen kysymykset","b) Muut kysymykset")</f>
        <v>b) Muut kysymykset</v>
      </c>
      <c r="K8" s="125" t="s">
        <v>7</v>
      </c>
      <c r="L8" s="9" t="s">
        <v>8</v>
      </c>
      <c r="M8" s="60" t="str">
        <f>LEFT(KysymyksetTaulukko[[#This Row],[Alakategoria_]],2)</f>
        <v>1.</v>
      </c>
      <c r="N8" s="107" t="s">
        <v>11</v>
      </c>
      <c r="O8" s="70" t="s">
        <v>206</v>
      </c>
      <c r="P8" s="67" t="str">
        <f>IF(AND(KysymyksetTaulukko[[#This Row],[Luokka]]="Extra",KysymyksetTaulukko[[#This Row],[Luokka + toimiala]]="Kuuluu"),"Extra","")</f>
        <v/>
      </c>
      <c r="Q8" s="114"/>
      <c r="R8" s="64" t="s">
        <v>14</v>
      </c>
      <c r="S8" s="159"/>
      <c r="T8" s="123">
        <f>IF(AND(KysymyksetTaulukko[[#This Row],[Luokka + toimiala]]="Kuuluu",KysymyksetTaulukko[[#This Row],[Vastaus]]="Kyllä"),1,0)</f>
        <v>0</v>
      </c>
      <c r="U8" s="121">
        <f>IF(AND(KysymyksetTaulukko[[#This Row],[Maksimipisteet]]=1,NOT(ISBLANK(KysymyksetTaulukko[[#This Row],[Vastaus]]))),1,0)</f>
        <v>0</v>
      </c>
      <c r="V8" s="123">
        <f>IF(OR(KysymyksetTaulukko[[#This Row],[Luokka + toimiala]]="Ei kuulu",KysymyksetTaulukko[[#This Row],[Vastaus]]="Ei koske",KysymyksetTaulukko[[#This Row],[Luokka]]="Extra",KysymyksetTaulukko[[#This Row],[Otsikkorivi]]="Kyllä"),0,1)</f>
        <v>0</v>
      </c>
    </row>
    <row r="9" spans="1:34" ht="28.5" x14ac:dyDescent="0.35">
      <c r="A9" s="3" t="s">
        <v>12</v>
      </c>
      <c r="B9" s="3" t="str">
        <f>IF(ISNUMBER(SEARCH("," &amp; LV!$B$10 &amp; ",", "," &amp; SUBSTITUTE(A9, " ", "")&amp; ",")),
  "Kuuluu",
  IF(AND(LV!$B$10&gt;=2,
      LV!$B$10&lt;=4,
      OR(ISNUMBER(SEARCH("," &amp;(LV!$B$10+1)&amp; ",", "," &amp; SUBSTITUTE(A9, " ", "")&amp; ",")),
        ISNUMBER(SEARCH("," &amp;(LV!$B$10+2)&amp; ",", "," &amp; SUBSTITUTE(A9, " ", "")&amp; ",")),
        ISNUMBER(SEARCH("," &amp;(LV!$B$10+3)&amp; ",", "," &amp; SUBSTITUTE(A9, " ", "")&amp; ",")),
        ISNUMBER(SEARCH("," &amp;(LV!$B$10+4)&amp; ",", "," &amp; SUBSTITUTE(A9, " ", "")&amp; ",")),
        ISNUMBER(SEARCH("," &amp;(LV!$B$10+5)&amp; ",", "," &amp; SUBSTITUTE(A9, " ", "")&amp; ",")))),
    "Extra",
    "Ei kuulu"))</f>
        <v>Ei kuulu</v>
      </c>
      <c r="C9" s="3" t="s">
        <v>10</v>
      </c>
      <c r="D9" s="3" t="str">
        <f>IF(ISNUMBER(SEARCH(LV!$I$5, Turvallinen_ja_toimintavarma!C9)), "K", "E")</f>
        <v>E</v>
      </c>
      <c r="E9" s="3" t="str">
        <f>IF(ISNUMBER(SEARCH(LV!$I$6, Turvallinen_ja_toimintavarma!$C9)), "K", "E")</f>
        <v>E</v>
      </c>
      <c r="F9" s="3" t="str">
        <f>IF(ISNUMBER(SEARCH(LV!$I$7, Turvallinen_ja_toimintavarma!$C9)), "K", "E")</f>
        <v>E</v>
      </c>
      <c r="G9" s="3" t="str">
        <f>IF(ISNUMBER(SEARCH(LV!$I$8, Turvallinen_ja_toimintavarma!$C9)), "K", "E")</f>
        <v>E</v>
      </c>
      <c r="H9" s="3" t="str">
        <f>IF(OR(KysymyksetTaulukko[[#This Row],[Toimiala A]]="K",KysymyksetTaulukko[[#This Row],[Toimiala B]]="K",KysymyksetTaulukko[[#This Row],[Toimiala C]]="K",KysymyksetTaulukko[[#This Row],[Toimiala D]]="K"),"Kuuluu","Ei kuulu")</f>
        <v>Ei kuulu</v>
      </c>
      <c r="I9" s="3" t="str">
        <f>IF(OR(KysymyksetTaulukko[[#This Row],[Luokka]]="Ei kuulu",KysymyksetTaulukko[[#This Row],[Toimiala-
kysymys]]="Ei kuulu"), "Ei kuulu", "Kuuluu")</f>
        <v>Ei kuulu</v>
      </c>
      <c r="J9" s="3" t="str">
        <f>IF(KysymyksetTaulukko[[#This Row],[Luokka + toimiala]]="Kuuluu","a) Oman vesilaitoksen kysymykset","b) Muut kysymykset")</f>
        <v>b) Muut kysymykset</v>
      </c>
      <c r="K9" s="125" t="s">
        <v>7</v>
      </c>
      <c r="L9" s="9" t="s">
        <v>8</v>
      </c>
      <c r="M9" s="60" t="str">
        <f>LEFT(KysymyksetTaulukko[[#This Row],[Alakategoria_]],2)</f>
        <v>1.</v>
      </c>
      <c r="N9" s="107"/>
      <c r="O9" s="70" t="s">
        <v>222</v>
      </c>
      <c r="P9" s="67" t="str">
        <f>IF(AND(KysymyksetTaulukko[[#This Row],[Luokka]]="Extra",KysymyksetTaulukko[[#This Row],[Luokka + toimiala]]="Kuuluu"),"Extra","")</f>
        <v/>
      </c>
      <c r="Q9" s="114"/>
      <c r="R9" s="64" t="s">
        <v>15</v>
      </c>
      <c r="S9" s="159"/>
      <c r="T9" s="123">
        <f>IF(AND(KysymyksetTaulukko[[#This Row],[Luokka + toimiala]]="Kuuluu",KysymyksetTaulukko[[#This Row],[Vastaus]]="Kyllä"),1,0)</f>
        <v>0</v>
      </c>
      <c r="U9" s="121">
        <f>IF(AND(KysymyksetTaulukko[[#This Row],[Maksimipisteet]]=1,NOT(ISBLANK(KysymyksetTaulukko[[#This Row],[Vastaus]]))),1,0)</f>
        <v>0</v>
      </c>
      <c r="V9" s="123">
        <f>IF(OR(KysymyksetTaulukko[[#This Row],[Luokka + toimiala]]="Ei kuulu",KysymyksetTaulukko[[#This Row],[Vastaus]]="Ei koske",KysymyksetTaulukko[[#This Row],[Luokka]]="Extra",KysymyksetTaulukko[[#This Row],[Otsikkorivi]]="Kyllä"),0,1)</f>
        <v>0</v>
      </c>
    </row>
    <row r="10" spans="1:34" ht="29" x14ac:dyDescent="0.35">
      <c r="A10" s="3" t="s">
        <v>12</v>
      </c>
      <c r="B10" s="3" t="str">
        <f>IF(ISNUMBER(SEARCH("," &amp; LV!$B$10 &amp; ",", "," &amp; SUBSTITUTE(A10, " ", "")&amp; ",")),
  "Kuuluu",
  IF(AND(LV!$B$10&gt;=2,
      LV!$B$10&lt;=4,
      OR(ISNUMBER(SEARCH("," &amp;(LV!$B$10+1)&amp; ",", "," &amp; SUBSTITUTE(A10, " ", "")&amp; ",")),
        ISNUMBER(SEARCH("," &amp;(LV!$B$10+2)&amp; ",", "," &amp; SUBSTITUTE(A10, " ", "")&amp; ",")),
        ISNUMBER(SEARCH("," &amp;(LV!$B$10+3)&amp; ",", "," &amp; SUBSTITUTE(A10, " ", "")&amp; ",")),
        ISNUMBER(SEARCH("," &amp;(LV!$B$10+4)&amp; ",", "," &amp; SUBSTITUTE(A10, " ", "")&amp; ",")),
        ISNUMBER(SEARCH("," &amp;(LV!$B$10+5)&amp; ",", "," &amp; SUBSTITUTE(A10, " ", "")&amp; ",")))),
    "Extra",
    "Ei kuulu"))</f>
        <v>Ei kuulu</v>
      </c>
      <c r="C10" s="3" t="s">
        <v>17</v>
      </c>
      <c r="D10" s="3" t="str">
        <f>IF(ISNUMBER(SEARCH(LV!$I$5, Turvallinen_ja_toimintavarma!C10)), "K", "E")</f>
        <v>E</v>
      </c>
      <c r="E10" s="3" t="str">
        <f>IF(ISNUMBER(SEARCH(LV!$I$6, Turvallinen_ja_toimintavarma!$C10)), "K", "E")</f>
        <v>E</v>
      </c>
      <c r="F10" s="3" t="str">
        <f>IF(ISNUMBER(SEARCH(LV!$I$7, Turvallinen_ja_toimintavarma!$C10)), "K", "E")</f>
        <v>E</v>
      </c>
      <c r="G10" s="3" t="str">
        <f>IF(ISNUMBER(SEARCH(LV!$I$8, Turvallinen_ja_toimintavarma!$C10)), "K", "E")</f>
        <v>E</v>
      </c>
      <c r="H10" s="3" t="str">
        <f>IF(OR(KysymyksetTaulukko[[#This Row],[Toimiala A]]="K",KysymyksetTaulukko[[#This Row],[Toimiala B]]="K",KysymyksetTaulukko[[#This Row],[Toimiala C]]="K",KysymyksetTaulukko[[#This Row],[Toimiala D]]="K"),"Kuuluu","Ei kuulu")</f>
        <v>Ei kuulu</v>
      </c>
      <c r="I10" s="3" t="str">
        <f>IF(OR(KysymyksetTaulukko[[#This Row],[Luokka]]="Ei kuulu",KysymyksetTaulukko[[#This Row],[Toimiala-
kysymys]]="Ei kuulu"), "Ei kuulu", "Kuuluu")</f>
        <v>Ei kuulu</v>
      </c>
      <c r="J10" s="3" t="str">
        <f>IF(KysymyksetTaulukko[[#This Row],[Luokka + toimiala]]="Kuuluu","a) Oman vesilaitoksen kysymykset","b) Muut kysymykset")</f>
        <v>b) Muut kysymykset</v>
      </c>
      <c r="K10" s="125" t="s">
        <v>7</v>
      </c>
      <c r="L10" s="9" t="s">
        <v>8</v>
      </c>
      <c r="M10" s="60" t="str">
        <f>LEFT(KysymyksetTaulukko[[#This Row],[Alakategoria_]],2)</f>
        <v>1.</v>
      </c>
      <c r="N10" s="107"/>
      <c r="O10" s="70" t="s">
        <v>222</v>
      </c>
      <c r="P10" s="67" t="str">
        <f>IF(AND(KysymyksetTaulukko[[#This Row],[Luokka]]="Extra",KysymyksetTaulukko[[#This Row],[Luokka + toimiala]]="Kuuluu"),"Extra","")</f>
        <v/>
      </c>
      <c r="Q10" s="114"/>
      <c r="R10" s="64" t="s">
        <v>16</v>
      </c>
      <c r="S10" s="159"/>
      <c r="T10" s="123">
        <f>IF(AND(KysymyksetTaulukko[[#This Row],[Luokka + toimiala]]="Kuuluu",KysymyksetTaulukko[[#This Row],[Vastaus]]="Kyllä"),1,0)</f>
        <v>0</v>
      </c>
      <c r="U10" s="121">
        <f>IF(AND(KysymyksetTaulukko[[#This Row],[Maksimipisteet]]=1,NOT(ISBLANK(KysymyksetTaulukko[[#This Row],[Vastaus]]))),1,0)</f>
        <v>0</v>
      </c>
      <c r="V10" s="123">
        <f>IF(OR(KysymyksetTaulukko[[#This Row],[Luokka + toimiala]]="Ei kuulu",KysymyksetTaulukko[[#This Row],[Vastaus]]="Ei koske",KysymyksetTaulukko[[#This Row],[Luokka]]="Extra",KysymyksetTaulukko[[#This Row],[Otsikkorivi]]="Kyllä"),0,1)</f>
        <v>0</v>
      </c>
    </row>
    <row r="11" spans="1:34" ht="29" x14ac:dyDescent="0.35">
      <c r="A11" s="3" t="s">
        <v>12</v>
      </c>
      <c r="B11" s="3" t="str">
        <f>IF(ISNUMBER(SEARCH("," &amp; LV!$B$10 &amp; ",", "," &amp; SUBSTITUTE(A11, " ", "")&amp; ",")),
  "Kuuluu",
  IF(AND(LV!$B$10&gt;=2,
      LV!$B$10&lt;=4,
      OR(ISNUMBER(SEARCH("," &amp;(LV!$B$10+1)&amp; ",", "," &amp; SUBSTITUTE(A11, " ", "")&amp; ",")),
        ISNUMBER(SEARCH("," &amp;(LV!$B$10+2)&amp; ",", "," &amp; SUBSTITUTE(A11, " ", "")&amp; ",")),
        ISNUMBER(SEARCH("," &amp;(LV!$B$10+3)&amp; ",", "," &amp; SUBSTITUTE(A11, " ", "")&amp; ",")),
        ISNUMBER(SEARCH("," &amp;(LV!$B$10+4)&amp; ",", "," &amp; SUBSTITUTE(A11, " ", "")&amp; ",")),
        ISNUMBER(SEARCH("," &amp;(LV!$B$10+5)&amp; ",", "," &amp; SUBSTITUTE(A11, " ", "")&amp; ",")))),
    "Extra",
    "Ei kuulu"))</f>
        <v>Ei kuulu</v>
      </c>
      <c r="C11" s="3" t="s">
        <v>17</v>
      </c>
      <c r="D11" s="3" t="str">
        <f>IF(ISNUMBER(SEARCH(LV!$I$5, Turvallinen_ja_toimintavarma!C11)), "K", "E")</f>
        <v>E</v>
      </c>
      <c r="E11" s="3" t="str">
        <f>IF(ISNUMBER(SEARCH(LV!$I$6, Turvallinen_ja_toimintavarma!$C11)), "K", "E")</f>
        <v>E</v>
      </c>
      <c r="F11" s="3" t="str">
        <f>IF(ISNUMBER(SEARCH(LV!$I$7, Turvallinen_ja_toimintavarma!$C11)), "K", "E")</f>
        <v>E</v>
      </c>
      <c r="G11" s="3" t="str">
        <f>IF(ISNUMBER(SEARCH(LV!$I$8, Turvallinen_ja_toimintavarma!$C11)), "K", "E")</f>
        <v>E</v>
      </c>
      <c r="H11" s="3" t="str">
        <f>IF(OR(KysymyksetTaulukko[[#This Row],[Toimiala A]]="K",KysymyksetTaulukko[[#This Row],[Toimiala B]]="K",KysymyksetTaulukko[[#This Row],[Toimiala C]]="K",KysymyksetTaulukko[[#This Row],[Toimiala D]]="K"),"Kuuluu","Ei kuulu")</f>
        <v>Ei kuulu</v>
      </c>
      <c r="I11" s="3" t="str">
        <f>IF(OR(KysymyksetTaulukko[[#This Row],[Luokka]]="Ei kuulu",KysymyksetTaulukko[[#This Row],[Toimiala-
kysymys]]="Ei kuulu"), "Ei kuulu", "Kuuluu")</f>
        <v>Ei kuulu</v>
      </c>
      <c r="J11" s="3" t="str">
        <f>IF(KysymyksetTaulukko[[#This Row],[Luokka + toimiala]]="Kuuluu","a) Oman vesilaitoksen kysymykset","b) Muut kysymykset")</f>
        <v>b) Muut kysymykset</v>
      </c>
      <c r="K11" s="125" t="s">
        <v>7</v>
      </c>
      <c r="L11" s="9" t="s">
        <v>8</v>
      </c>
      <c r="M11" s="60" t="str">
        <f>LEFT(KysymyksetTaulukko[[#This Row],[Alakategoria_]],2)</f>
        <v>1.</v>
      </c>
      <c r="N11" s="107"/>
      <c r="O11" s="70" t="s">
        <v>222</v>
      </c>
      <c r="P11" s="67" t="str">
        <f>IF(AND(KysymyksetTaulukko[[#This Row],[Luokka]]="Extra",KysymyksetTaulukko[[#This Row],[Luokka + toimiala]]="Kuuluu"),"Extra","")</f>
        <v/>
      </c>
      <c r="Q11" s="114"/>
      <c r="R11" s="64" t="s">
        <v>18</v>
      </c>
      <c r="S11" s="159"/>
      <c r="T11" s="123">
        <f>IF(AND(KysymyksetTaulukko[[#This Row],[Luokka + toimiala]]="Kuuluu",KysymyksetTaulukko[[#This Row],[Vastaus]]="Kyllä"),1,0)</f>
        <v>0</v>
      </c>
      <c r="U11" s="121">
        <f>IF(AND(KysymyksetTaulukko[[#This Row],[Maksimipisteet]]=1,NOT(ISBLANK(KysymyksetTaulukko[[#This Row],[Vastaus]]))),1,0)</f>
        <v>0</v>
      </c>
      <c r="V11" s="123">
        <f>IF(OR(KysymyksetTaulukko[[#This Row],[Luokka + toimiala]]="Ei kuulu",KysymyksetTaulukko[[#This Row],[Vastaus]]="Ei koske",KysymyksetTaulukko[[#This Row],[Luokka]]="Extra",KysymyksetTaulukko[[#This Row],[Otsikkorivi]]="Kyllä"),0,1)</f>
        <v>0</v>
      </c>
    </row>
    <row r="12" spans="1:34" s="1" customFormat="1" ht="29" x14ac:dyDescent="0.35">
      <c r="A12" s="3" t="s">
        <v>19</v>
      </c>
      <c r="B12" s="3" t="str">
        <f>IF(ISNUMBER(SEARCH("," &amp; LV!$B$10 &amp; ",", "," &amp; SUBSTITUTE(A12, " ", "")&amp; ",")),
  "Kuuluu",
  IF(AND(LV!$B$10&gt;=2,
      LV!$B$10&lt;=4,
      OR(ISNUMBER(SEARCH("," &amp;(LV!$B$10+1)&amp; ",", "," &amp; SUBSTITUTE(A12, " ", "")&amp; ",")),
        ISNUMBER(SEARCH("," &amp;(LV!$B$10+2)&amp; ",", "," &amp; SUBSTITUTE(A12, " ", "")&amp; ",")),
        ISNUMBER(SEARCH("," &amp;(LV!$B$10+3)&amp; ",", "," &amp; SUBSTITUTE(A12, " ", "")&amp; ",")),
        ISNUMBER(SEARCH("," &amp;(LV!$B$10+4)&amp; ",", "," &amp; SUBSTITUTE(A12, " ", "")&amp; ",")),
        ISNUMBER(SEARCH("," &amp;(LV!$B$10+5)&amp; ",", "," &amp; SUBSTITUTE(A12, " ", "")&amp; ",")))),
    "Extra",
    "Ei kuulu"))</f>
        <v>Ei kuulu</v>
      </c>
      <c r="C12" s="3" t="s">
        <v>21</v>
      </c>
      <c r="D12" s="3" t="str">
        <f>IF(ISNUMBER(SEARCH(LV!$I$5, Turvallinen_ja_toimintavarma!C12)), "K", "E")</f>
        <v>E</v>
      </c>
      <c r="E12" s="3" t="str">
        <f>IF(ISNUMBER(SEARCH(LV!$I$6, Turvallinen_ja_toimintavarma!$C12)), "K", "E")</f>
        <v>E</v>
      </c>
      <c r="F12" s="3" t="str">
        <f>IF(ISNUMBER(SEARCH(LV!$I$7, Turvallinen_ja_toimintavarma!$C12)), "K", "E")</f>
        <v>E</v>
      </c>
      <c r="G12" s="3" t="str">
        <f>IF(ISNUMBER(SEARCH(LV!$I$8, Turvallinen_ja_toimintavarma!$C12)), "K", "E")</f>
        <v>E</v>
      </c>
      <c r="H12" s="3" t="str">
        <f>IF(OR(KysymyksetTaulukko[[#This Row],[Toimiala A]]="K",KysymyksetTaulukko[[#This Row],[Toimiala B]]="K",KysymyksetTaulukko[[#This Row],[Toimiala C]]="K",KysymyksetTaulukko[[#This Row],[Toimiala D]]="K"),"Kuuluu","Ei kuulu")</f>
        <v>Ei kuulu</v>
      </c>
      <c r="I12" s="3" t="str">
        <f>IF(OR(KysymyksetTaulukko[[#This Row],[Luokka]]="Ei kuulu",KysymyksetTaulukko[[#This Row],[Toimiala-
kysymys]]="Ei kuulu"), "Ei kuulu", "Kuuluu")</f>
        <v>Ei kuulu</v>
      </c>
      <c r="J12" s="3" t="str">
        <f>IF(KysymyksetTaulukko[[#This Row],[Luokka + toimiala]]="Kuuluu","a) Oman vesilaitoksen kysymykset","b) Muut kysymykset")</f>
        <v>b) Muut kysymykset</v>
      </c>
      <c r="K12" s="125" t="s">
        <v>7</v>
      </c>
      <c r="L12" s="9" t="s">
        <v>8</v>
      </c>
      <c r="M12" s="60" t="str">
        <f>LEFT(KysymyksetTaulukko[[#This Row],[Alakategoria_]],2)</f>
        <v>1.</v>
      </c>
      <c r="N12" s="107"/>
      <c r="O12" s="70" t="s">
        <v>222</v>
      </c>
      <c r="P12" s="67" t="str">
        <f>IF(AND(KysymyksetTaulukko[[#This Row],[Luokka]]="Extra",KysymyksetTaulukko[[#This Row],[Luokka + toimiala]]="Kuuluu"),"Extra","")</f>
        <v/>
      </c>
      <c r="Q12" s="114"/>
      <c r="R12" s="64" t="s">
        <v>20</v>
      </c>
      <c r="S12" s="159"/>
      <c r="T12" s="123">
        <f>IF(AND(KysymyksetTaulukko[[#This Row],[Luokka + toimiala]]="Kuuluu",KysymyksetTaulukko[[#This Row],[Vastaus]]="Kyllä"),1,0)</f>
        <v>0</v>
      </c>
      <c r="U12" s="121">
        <f>IF(AND(KysymyksetTaulukko[[#This Row],[Maksimipisteet]]=1,NOT(ISBLANK(KysymyksetTaulukko[[#This Row],[Vastaus]]))),1,0)</f>
        <v>0</v>
      </c>
      <c r="V12" s="123">
        <f>IF(OR(KysymyksetTaulukko[[#This Row],[Luokka + toimiala]]="Ei kuulu",KysymyksetTaulukko[[#This Row],[Vastaus]]="Ei koske",KysymyksetTaulukko[[#This Row],[Luokka]]="Extra",KysymyksetTaulukko[[#This Row],[Otsikkorivi]]="Kyllä"),0,1)</f>
        <v>0</v>
      </c>
    </row>
    <row r="13" spans="1:34" s="1" customFormat="1" ht="58" x14ac:dyDescent="0.35">
      <c r="A13" s="3">
        <v>4</v>
      </c>
      <c r="B13" s="3" t="str">
        <f>IF(ISNUMBER(SEARCH("," &amp; LV!$B$10 &amp; ",", "," &amp; SUBSTITUTE(A13, " ", "")&amp; ",")),
  "Kuuluu",
  IF(AND(LV!$B$10&gt;=2,
      LV!$B$10&lt;=4,
      OR(ISNUMBER(SEARCH("," &amp;(LV!$B$10+1)&amp; ",", "," &amp; SUBSTITUTE(A13, " ", "")&amp; ",")),
        ISNUMBER(SEARCH("," &amp;(LV!$B$10+2)&amp; ",", "," &amp; SUBSTITUTE(A13, " ", "")&amp; ",")),
        ISNUMBER(SEARCH("," &amp;(LV!$B$10+3)&amp; ",", "," &amp; SUBSTITUTE(A13, " ", "")&amp; ",")),
        ISNUMBER(SEARCH("," &amp;(LV!$B$10+4)&amp; ",", "," &amp; SUBSTITUTE(A13, " ", "")&amp; ",")),
        ISNUMBER(SEARCH("," &amp;(LV!$B$10+5)&amp; ",", "," &amp; SUBSTITUTE(A13, " ", "")&amp; ",")))),
    "Extra",
    "Ei kuulu"))</f>
        <v>Ei kuulu</v>
      </c>
      <c r="C13" s="3" t="s">
        <v>21</v>
      </c>
      <c r="D13" s="3" t="str">
        <f>IF(ISNUMBER(SEARCH(LV!$I$5, Turvallinen_ja_toimintavarma!C13)), "K", "E")</f>
        <v>E</v>
      </c>
      <c r="E13" s="3" t="str">
        <f>IF(ISNUMBER(SEARCH(LV!$I$6, Turvallinen_ja_toimintavarma!$C13)), "K", "E")</f>
        <v>E</v>
      </c>
      <c r="F13" s="3" t="str">
        <f>IF(ISNUMBER(SEARCH(LV!$I$7, Turvallinen_ja_toimintavarma!$C13)), "K", "E")</f>
        <v>E</v>
      </c>
      <c r="G13" s="3" t="str">
        <f>IF(ISNUMBER(SEARCH(LV!$I$8, Turvallinen_ja_toimintavarma!$C13)), "K", "E")</f>
        <v>E</v>
      </c>
      <c r="H13" s="3" t="str">
        <f>IF(OR(KysymyksetTaulukko[[#This Row],[Toimiala A]]="K",KysymyksetTaulukko[[#This Row],[Toimiala B]]="K",KysymyksetTaulukko[[#This Row],[Toimiala C]]="K",KysymyksetTaulukko[[#This Row],[Toimiala D]]="K"),"Kuuluu","Ei kuulu")</f>
        <v>Ei kuulu</v>
      </c>
      <c r="I13" s="3" t="str">
        <f>IF(OR(KysymyksetTaulukko[[#This Row],[Luokka]]="Ei kuulu",KysymyksetTaulukko[[#This Row],[Toimiala-
kysymys]]="Ei kuulu"), "Ei kuulu", "Kuuluu")</f>
        <v>Ei kuulu</v>
      </c>
      <c r="J13" s="3" t="str">
        <f>IF(KysymyksetTaulukko[[#This Row],[Luokka + toimiala]]="Kuuluu","a) Oman vesilaitoksen kysymykset","b) Muut kysymykset")</f>
        <v>b) Muut kysymykset</v>
      </c>
      <c r="K13" s="125" t="s">
        <v>7</v>
      </c>
      <c r="L13" s="9" t="s">
        <v>8</v>
      </c>
      <c r="M13" s="60" t="str">
        <f>LEFT(KysymyksetTaulukko[[#This Row],[Alakategoria_]],2)</f>
        <v>1.</v>
      </c>
      <c r="N13" s="107"/>
      <c r="O13" s="70" t="s">
        <v>222</v>
      </c>
      <c r="P13" s="67" t="str">
        <f>IF(AND(KysymyksetTaulukko[[#This Row],[Luokka]]="Extra",KysymyksetTaulukko[[#This Row],[Luokka + toimiala]]="Kuuluu"),"Extra","")</f>
        <v/>
      </c>
      <c r="Q13" s="114"/>
      <c r="R13" s="64" t="s">
        <v>22</v>
      </c>
      <c r="S13" s="159"/>
      <c r="T13" s="123">
        <f>IF(AND(KysymyksetTaulukko[[#This Row],[Luokka + toimiala]]="Kuuluu",KysymyksetTaulukko[[#This Row],[Vastaus]]="Kyllä"),1,0)</f>
        <v>0</v>
      </c>
      <c r="U13" s="121">
        <f>IF(AND(KysymyksetTaulukko[[#This Row],[Maksimipisteet]]=1,NOT(ISBLANK(KysymyksetTaulukko[[#This Row],[Vastaus]]))),1,0)</f>
        <v>0</v>
      </c>
      <c r="V13" s="123">
        <f>IF(OR(KysymyksetTaulukko[[#This Row],[Luokka + toimiala]]="Ei kuulu",KysymyksetTaulukko[[#This Row],[Vastaus]]="Ei koske",KysymyksetTaulukko[[#This Row],[Luokka]]="Extra",KysymyksetTaulukko[[#This Row],[Otsikkorivi]]="Kyllä"),0,1)</f>
        <v>0</v>
      </c>
    </row>
    <row r="14" spans="1:34" s="1" customFormat="1" ht="29" x14ac:dyDescent="0.35">
      <c r="A14" s="3">
        <v>4</v>
      </c>
      <c r="B14" s="3" t="str">
        <f>IF(ISNUMBER(SEARCH("," &amp; LV!$B$10 &amp; ",", "," &amp; SUBSTITUTE(A14, " ", "")&amp; ",")),
  "Kuuluu",
  IF(AND(LV!$B$10&gt;=2,
      LV!$B$10&lt;=4,
      OR(ISNUMBER(SEARCH("," &amp;(LV!$B$10+1)&amp; ",", "," &amp; SUBSTITUTE(A14, " ", "")&amp; ",")),
        ISNUMBER(SEARCH("," &amp;(LV!$B$10+2)&amp; ",", "," &amp; SUBSTITUTE(A14, " ", "")&amp; ",")),
        ISNUMBER(SEARCH("," &amp;(LV!$B$10+3)&amp; ",", "," &amp; SUBSTITUTE(A14, " ", "")&amp; ",")),
        ISNUMBER(SEARCH("," &amp;(LV!$B$10+4)&amp; ",", "," &amp; SUBSTITUTE(A14, " ", "")&amp; ",")),
        ISNUMBER(SEARCH("," &amp;(LV!$B$10+5)&amp; ",", "," &amp; SUBSTITUTE(A14, " ", "")&amp; ",")))),
    "Extra",
    "Ei kuulu"))</f>
        <v>Ei kuulu</v>
      </c>
      <c r="C14" s="65" t="s">
        <v>21</v>
      </c>
      <c r="D14" s="65" t="str">
        <f>IF(ISNUMBER(SEARCH(LV!$I$5, Turvallinen_ja_toimintavarma!C14)), "K", "E")</f>
        <v>E</v>
      </c>
      <c r="E14" s="65" t="str">
        <f>IF(ISNUMBER(SEARCH(LV!$I$6, Turvallinen_ja_toimintavarma!$C14)), "K", "E")</f>
        <v>E</v>
      </c>
      <c r="F14" s="65" t="str">
        <f>IF(ISNUMBER(SEARCH(LV!$I$7, Turvallinen_ja_toimintavarma!$C14)), "K", "E")</f>
        <v>E</v>
      </c>
      <c r="G14" s="65" t="str">
        <f>IF(ISNUMBER(SEARCH(LV!$I$8, Turvallinen_ja_toimintavarma!$C14)), "K", "E")</f>
        <v>E</v>
      </c>
      <c r="H14" s="65" t="str">
        <f>IF(OR(KysymyksetTaulukko[[#This Row],[Toimiala A]]="K",KysymyksetTaulukko[[#This Row],[Toimiala B]]="K",KysymyksetTaulukko[[#This Row],[Toimiala C]]="K",KysymyksetTaulukko[[#This Row],[Toimiala D]]="K"),"Kuuluu","Ei kuulu")</f>
        <v>Ei kuulu</v>
      </c>
      <c r="I14" s="65" t="str">
        <f>IF(OR(KysymyksetTaulukko[[#This Row],[Luokka]]="Ei kuulu",KysymyksetTaulukko[[#This Row],[Toimiala-
kysymys]]="Ei kuulu"), "Ei kuulu", "Kuuluu")</f>
        <v>Ei kuulu</v>
      </c>
      <c r="J14" s="65" t="str">
        <f>IF(KysymyksetTaulukko[[#This Row],[Luokka + toimiala]]="Kuuluu","a) Oman vesilaitoksen kysymykset","b) Muut kysymykset")</f>
        <v>b) Muut kysymykset</v>
      </c>
      <c r="K14" s="125" t="s">
        <v>7</v>
      </c>
      <c r="L14" s="9" t="s">
        <v>8</v>
      </c>
      <c r="M14" s="61" t="str">
        <f>LEFT(KysymyksetTaulukko[[#This Row],[Alakategoria_]],2)</f>
        <v>1.</v>
      </c>
      <c r="N14" s="109" t="s">
        <v>11</v>
      </c>
      <c r="O14" s="70" t="s">
        <v>206</v>
      </c>
      <c r="P14" s="67" t="str">
        <f>IF(AND(KysymyksetTaulukko[[#This Row],[Luokka]]="Extra",KysymyksetTaulukko[[#This Row],[Luokka + toimiala]]="Kuuluu"),"Extra","")</f>
        <v/>
      </c>
      <c r="Q14" s="114"/>
      <c r="R14" s="64" t="s">
        <v>23</v>
      </c>
      <c r="S14" s="159"/>
      <c r="T14" s="123">
        <f>IF(AND(KysymyksetTaulukko[[#This Row],[Luokka + toimiala]]="Kuuluu",KysymyksetTaulukko[[#This Row],[Vastaus]]="Kyllä"),1,0)</f>
        <v>0</v>
      </c>
      <c r="U14" s="121">
        <f>IF(AND(KysymyksetTaulukko[[#This Row],[Maksimipisteet]]=1,NOT(ISBLANK(KysymyksetTaulukko[[#This Row],[Vastaus]]))),1,0)</f>
        <v>0</v>
      </c>
      <c r="V14" s="123">
        <f>IF(OR(KysymyksetTaulukko[[#This Row],[Luokka + toimiala]]="Ei kuulu",KysymyksetTaulukko[[#This Row],[Vastaus]]="Ei koske",KysymyksetTaulukko[[#This Row],[Luokka]]="Extra",KysymyksetTaulukko[[#This Row],[Otsikkorivi]]="Kyllä"),0,1)</f>
        <v>0</v>
      </c>
    </row>
    <row r="15" spans="1:34" ht="28.5" x14ac:dyDescent="0.35">
      <c r="A15" s="3">
        <v>4</v>
      </c>
      <c r="B15" s="3" t="str">
        <f>IF(ISNUMBER(SEARCH("," &amp; LV!$B$10 &amp; ",", "," &amp; SUBSTITUTE(A15, " ", "")&amp; ",")),
  "Kuuluu",
  IF(AND(LV!$B$10&gt;=2,
      LV!$B$10&lt;=4,
      OR(ISNUMBER(SEARCH("," &amp;(LV!$B$10+1)&amp; ",", "," &amp; SUBSTITUTE(A15, " ", "")&amp; ",")),
        ISNUMBER(SEARCH("," &amp;(LV!$B$10+2)&amp; ",", "," &amp; SUBSTITUTE(A15, " ", "")&amp; ",")),
        ISNUMBER(SEARCH("," &amp;(LV!$B$10+3)&amp; ",", "," &amp; SUBSTITUTE(A15, " ", "")&amp; ",")),
        ISNUMBER(SEARCH("," &amp;(LV!$B$10+4)&amp; ",", "," &amp; SUBSTITUTE(A15, " ", "")&amp; ",")),
        ISNUMBER(SEARCH("," &amp;(LV!$B$10+5)&amp; ",", "," &amp; SUBSTITUTE(A15, " ", "")&amp; ",")))),
    "Extra",
    "Ei kuulu"))</f>
        <v>Ei kuulu</v>
      </c>
      <c r="C15" s="3" t="s">
        <v>17</v>
      </c>
      <c r="D15" s="3" t="str">
        <f>IF(ISNUMBER(SEARCH(LV!$I$5, Turvallinen_ja_toimintavarma!C15)), "K", "E")</f>
        <v>E</v>
      </c>
      <c r="E15" s="3" t="str">
        <f>IF(ISNUMBER(SEARCH(LV!$I$6, Turvallinen_ja_toimintavarma!$C15)), "K", "E")</f>
        <v>E</v>
      </c>
      <c r="F15" s="3" t="str">
        <f>IF(ISNUMBER(SEARCH(LV!$I$7, Turvallinen_ja_toimintavarma!$C15)), "K", "E")</f>
        <v>E</v>
      </c>
      <c r="G15" s="3" t="str">
        <f>IF(ISNUMBER(SEARCH(LV!$I$8, Turvallinen_ja_toimintavarma!$C15)), "K", "E")</f>
        <v>E</v>
      </c>
      <c r="H15" s="3" t="str">
        <f>IF(OR(KysymyksetTaulukko[[#This Row],[Toimiala A]]="K",KysymyksetTaulukko[[#This Row],[Toimiala B]]="K",KysymyksetTaulukko[[#This Row],[Toimiala C]]="K",KysymyksetTaulukko[[#This Row],[Toimiala D]]="K"),"Kuuluu","Ei kuulu")</f>
        <v>Ei kuulu</v>
      </c>
      <c r="I15" s="3" t="str">
        <f>IF(OR(KysymyksetTaulukko[[#This Row],[Luokka]]="Ei kuulu",KysymyksetTaulukko[[#This Row],[Toimiala-
kysymys]]="Ei kuulu"), "Ei kuulu", "Kuuluu")</f>
        <v>Ei kuulu</v>
      </c>
      <c r="J15" s="3" t="str">
        <f>IF(KysymyksetTaulukko[[#This Row],[Luokka + toimiala]]="Kuuluu","a) Oman vesilaitoksen kysymykset","b) Muut kysymykset")</f>
        <v>b) Muut kysymykset</v>
      </c>
      <c r="K15" s="125" t="s">
        <v>7</v>
      </c>
      <c r="L15" s="9" t="s">
        <v>8</v>
      </c>
      <c r="M15" s="61" t="str">
        <f>LEFT(KysymyksetTaulukko[[#This Row],[Alakategoria_]],2)</f>
        <v>1.</v>
      </c>
      <c r="N15" s="109"/>
      <c r="O15" s="70" t="s">
        <v>222</v>
      </c>
      <c r="P15" s="67" t="str">
        <f>IF(AND(KysymyksetTaulukko[[#This Row],[Luokka]]="Extra",KysymyksetTaulukko[[#This Row],[Luokka + toimiala]]="Kuuluu"),"Extra","")</f>
        <v/>
      </c>
      <c r="Q15" s="114"/>
      <c r="R15" s="64" t="s">
        <v>24</v>
      </c>
      <c r="S15" s="159"/>
      <c r="T15" s="123">
        <f>IF(AND(KysymyksetTaulukko[[#This Row],[Luokka + toimiala]]="Kuuluu",KysymyksetTaulukko[[#This Row],[Vastaus]]="Kyllä"),1,0)</f>
        <v>0</v>
      </c>
      <c r="U15" s="121">
        <f>IF(AND(KysymyksetTaulukko[[#This Row],[Maksimipisteet]]=1,NOT(ISBLANK(KysymyksetTaulukko[[#This Row],[Vastaus]]))),1,0)</f>
        <v>0</v>
      </c>
      <c r="V15" s="123">
        <f>IF(OR(KysymyksetTaulukko[[#This Row],[Luokka + toimiala]]="Ei kuulu",KysymyksetTaulukko[[#This Row],[Vastaus]]="Ei koske",KysymyksetTaulukko[[#This Row],[Luokka]]="Extra",KysymyksetTaulukko[[#This Row],[Otsikkorivi]]="Kyllä"),0,1)</f>
        <v>0</v>
      </c>
    </row>
    <row r="16" spans="1:34" s="1" customFormat="1" ht="29" x14ac:dyDescent="0.35">
      <c r="A16" s="3">
        <v>5</v>
      </c>
      <c r="B16" s="3" t="str">
        <f>IF(ISNUMBER(SEARCH("," &amp; LV!$B$10 &amp; ",", "," &amp; SUBSTITUTE(A16, " ", "")&amp; ",")),
  "Kuuluu",
  IF(AND(LV!$B$10&gt;=2,
      LV!$B$10&lt;=4,
      OR(ISNUMBER(SEARCH("," &amp;(LV!$B$10+1)&amp; ",", "," &amp; SUBSTITUTE(A16, " ", "")&amp; ",")),
        ISNUMBER(SEARCH("," &amp;(LV!$B$10+2)&amp; ",", "," &amp; SUBSTITUTE(A16, " ", "")&amp; ",")),
        ISNUMBER(SEARCH("," &amp;(LV!$B$10+3)&amp; ",", "," &amp; SUBSTITUTE(A16, " ", "")&amp; ",")),
        ISNUMBER(SEARCH("," &amp;(LV!$B$10+4)&amp; ",", "," &amp; SUBSTITUTE(A16, " ", "")&amp; ",")),
        ISNUMBER(SEARCH("," &amp;(LV!$B$10+5)&amp; ",", "," &amp; SUBSTITUTE(A16, " ", "")&amp; ",")))),
    "Extra",
    "Ei kuulu"))</f>
        <v>Ei kuulu</v>
      </c>
      <c r="C16" s="65" t="s">
        <v>21</v>
      </c>
      <c r="D16" s="65" t="str">
        <f>IF(ISNUMBER(SEARCH(LV!$I$5, Turvallinen_ja_toimintavarma!C16)), "K", "E")</f>
        <v>E</v>
      </c>
      <c r="E16" s="65" t="str">
        <f>IF(ISNUMBER(SEARCH(LV!$I$6, Turvallinen_ja_toimintavarma!$C16)), "K", "E")</f>
        <v>E</v>
      </c>
      <c r="F16" s="65" t="str">
        <f>IF(ISNUMBER(SEARCH(LV!$I$7, Turvallinen_ja_toimintavarma!$C16)), "K", "E")</f>
        <v>E</v>
      </c>
      <c r="G16" s="65" t="str">
        <f>IF(ISNUMBER(SEARCH(LV!$I$8, Turvallinen_ja_toimintavarma!$C16)), "K", "E")</f>
        <v>E</v>
      </c>
      <c r="H16" s="65" t="str">
        <f>IF(OR(KysymyksetTaulukko[[#This Row],[Toimiala A]]="K",KysymyksetTaulukko[[#This Row],[Toimiala B]]="K",KysymyksetTaulukko[[#This Row],[Toimiala C]]="K",KysymyksetTaulukko[[#This Row],[Toimiala D]]="K"),"Kuuluu","Ei kuulu")</f>
        <v>Ei kuulu</v>
      </c>
      <c r="I16" s="65" t="str">
        <f>IF(OR(KysymyksetTaulukko[[#This Row],[Luokka]]="Ei kuulu",KysymyksetTaulukko[[#This Row],[Toimiala-
kysymys]]="Ei kuulu"), "Ei kuulu", "Kuuluu")</f>
        <v>Ei kuulu</v>
      </c>
      <c r="J16" s="65" t="str">
        <f>IF(KysymyksetTaulukko[[#This Row],[Luokka + toimiala]]="Kuuluu","a) Oman vesilaitoksen kysymykset","b) Muut kysymykset")</f>
        <v>b) Muut kysymykset</v>
      </c>
      <c r="K16" s="125" t="s">
        <v>7</v>
      </c>
      <c r="L16" s="9" t="s">
        <v>8</v>
      </c>
      <c r="M16" s="61" t="str">
        <f>LEFT(KysymyksetTaulukko[[#This Row],[Alakategoria_]],2)</f>
        <v>1.</v>
      </c>
      <c r="N16" s="109"/>
      <c r="O16" s="70" t="s">
        <v>222</v>
      </c>
      <c r="P16" s="67" t="str">
        <f>IF(AND(KysymyksetTaulukko[[#This Row],[Luokka]]="Extra",KysymyksetTaulukko[[#This Row],[Luokka + toimiala]]="Kuuluu"),"Extra","")</f>
        <v/>
      </c>
      <c r="Q16" s="114"/>
      <c r="R16" s="64" t="s">
        <v>25</v>
      </c>
      <c r="S16" s="159"/>
      <c r="T16" s="123">
        <f>IF(AND(KysymyksetTaulukko[[#This Row],[Luokka + toimiala]]="Kuuluu",KysymyksetTaulukko[[#This Row],[Vastaus]]="Kyllä"),1,0)</f>
        <v>0</v>
      </c>
      <c r="U16" s="121">
        <f>IF(AND(KysymyksetTaulukko[[#This Row],[Maksimipisteet]]=1,NOT(ISBLANK(KysymyksetTaulukko[[#This Row],[Vastaus]]))),1,0)</f>
        <v>0</v>
      </c>
      <c r="V16" s="123">
        <f>IF(OR(KysymyksetTaulukko[[#This Row],[Luokka + toimiala]]="Ei kuulu",KysymyksetTaulukko[[#This Row],[Vastaus]]="Ei koske",KysymyksetTaulukko[[#This Row],[Luokka]]="Extra",KysymyksetTaulukko[[#This Row],[Otsikkorivi]]="Kyllä"),0,1)</f>
        <v>0</v>
      </c>
    </row>
    <row r="17" spans="1:22" s="1" customFormat="1" ht="28.5" x14ac:dyDescent="0.35">
      <c r="A17" s="3" t="s">
        <v>6</v>
      </c>
      <c r="B17" s="3" t="str">
        <f>IF(ISNUMBER(SEARCH("," &amp; LV!$B$10 &amp; ",", "," &amp; SUBSTITUTE(A17, " ", "")&amp; ",")),
  "Kuuluu",
  IF(AND(LV!$B$10&gt;=2,
      LV!$B$10&lt;=4,
      OR(ISNUMBER(SEARCH("," &amp;(LV!$B$10+1)&amp; ",", "," &amp; SUBSTITUTE(A17, " ", "")&amp; ",")),
        ISNUMBER(SEARCH("," &amp;(LV!$B$10+2)&amp; ",", "," &amp; SUBSTITUTE(A17, " ", "")&amp; ",")),
        ISNUMBER(SEARCH("," &amp;(LV!$B$10+3)&amp; ",", "," &amp; SUBSTITUTE(A17, " ", "")&amp; ",")),
        ISNUMBER(SEARCH("," &amp;(LV!$B$10+4)&amp; ",", "," &amp; SUBSTITUTE(A17, " ", "")&amp; ",")),
        ISNUMBER(SEARCH("," &amp;(LV!$B$10+5)&amp; ",", "," &amp; SUBSTITUTE(A17, " ", "")&amp; ",")))),
    "Extra",
    "Ei kuulu"))</f>
        <v>Ei kuulu</v>
      </c>
      <c r="C17" s="3" t="s">
        <v>28</v>
      </c>
      <c r="D17" s="3" t="str">
        <f>IF(ISNUMBER(SEARCH(LV!$I$5, Turvallinen_ja_toimintavarma!C17)), "K", "E")</f>
        <v>E</v>
      </c>
      <c r="E17" s="3" t="str">
        <f>IF(ISNUMBER(SEARCH(LV!$I$6, Turvallinen_ja_toimintavarma!$C17)), "K", "E")</f>
        <v>E</v>
      </c>
      <c r="F17" s="3" t="str">
        <f>IF(ISNUMBER(SEARCH(LV!$I$7, Turvallinen_ja_toimintavarma!$C17)), "K", "E")</f>
        <v>E</v>
      </c>
      <c r="G17" s="3" t="str">
        <f>IF(ISNUMBER(SEARCH(LV!$I$8, Turvallinen_ja_toimintavarma!$C17)), "K", "E")</f>
        <v>E</v>
      </c>
      <c r="H17" s="3" t="str">
        <f>IF(OR(KysymyksetTaulukko[[#This Row],[Toimiala A]]="K",KysymyksetTaulukko[[#This Row],[Toimiala B]]="K",KysymyksetTaulukko[[#This Row],[Toimiala C]]="K",KysymyksetTaulukko[[#This Row],[Toimiala D]]="K"),"Kuuluu","Ei kuulu")</f>
        <v>Ei kuulu</v>
      </c>
      <c r="I17" s="3" t="str">
        <f>IF(OR(KysymyksetTaulukko[[#This Row],[Luokka]]="Ei kuulu",KysymyksetTaulukko[[#This Row],[Toimiala-
kysymys]]="Ei kuulu"), "Ei kuulu", "Kuuluu")</f>
        <v>Ei kuulu</v>
      </c>
      <c r="J17" s="3" t="str">
        <f>IF(KysymyksetTaulukko[[#This Row],[Luokka + toimiala]]="Kuuluu","a) Oman vesilaitoksen kysymykset","b) Muut kysymykset")</f>
        <v>b) Muut kysymykset</v>
      </c>
      <c r="K17" s="125" t="s">
        <v>7</v>
      </c>
      <c r="L17" s="9" t="s">
        <v>241</v>
      </c>
      <c r="M17" s="61" t="str">
        <f>LEFT(KysymyksetTaulukko[[#This Row],[Alakategoria_]],2)</f>
        <v>_O</v>
      </c>
      <c r="N17" s="107"/>
      <c r="O17" s="70"/>
      <c r="P17" s="67" t="str">
        <f>IF(AND(KysymyksetTaulukko[[#This Row],[Luokka]]="Extra",KysymyksetTaulukko[[#This Row],[Luokka + toimiala]]="Kuuluu"),"Extra","")</f>
        <v/>
      </c>
      <c r="Q17" s="114" t="s">
        <v>177</v>
      </c>
      <c r="R17" s="128" t="s">
        <v>26</v>
      </c>
      <c r="S17" s="158"/>
      <c r="T17" s="123">
        <f>IF(AND(KysymyksetTaulukko[[#This Row],[Luokka + toimiala]]="Kuuluu",KysymyksetTaulukko[[#This Row],[Vastaus]]="Kyllä"),1,0)</f>
        <v>0</v>
      </c>
      <c r="U17" s="121">
        <f>IF(AND(KysymyksetTaulukko[[#This Row],[Maksimipisteet]]=1,NOT(ISBLANK(KysymyksetTaulukko[[#This Row],[Vastaus]]))),1,0)</f>
        <v>0</v>
      </c>
      <c r="V17" s="123">
        <f>IF(OR(KysymyksetTaulukko[[#This Row],[Luokka + toimiala]]="Ei kuulu",KysymyksetTaulukko[[#This Row],[Vastaus]]="Ei koske",KysymyksetTaulukko[[#This Row],[Luokka]]="Extra",KysymyksetTaulukko[[#This Row],[Otsikkorivi]]="Kyllä"),0,1)</f>
        <v>0</v>
      </c>
    </row>
    <row r="18" spans="1:22" ht="28.5" x14ac:dyDescent="0.35">
      <c r="A18" s="7" t="s">
        <v>12</v>
      </c>
      <c r="B18" s="3" t="str">
        <f>IF(ISNUMBER(SEARCH("," &amp; LV!$B$10 &amp; ",", "," &amp; SUBSTITUTE(A18, " ", "")&amp; ",")),
  "Kuuluu",
  IF(AND(LV!$B$10&gt;=2,
      LV!$B$10&lt;=4,
      OR(ISNUMBER(SEARCH("," &amp;(LV!$B$10+1)&amp; ",", "," &amp; SUBSTITUTE(A18, " ", "")&amp; ",")),
        ISNUMBER(SEARCH("," &amp;(LV!$B$10+2)&amp; ",", "," &amp; SUBSTITUTE(A18, " ", "")&amp; ",")),
        ISNUMBER(SEARCH("," &amp;(LV!$B$10+3)&amp; ",", "," &amp; SUBSTITUTE(A18, " ", "")&amp; ",")),
        ISNUMBER(SEARCH("," &amp;(LV!$B$10+4)&amp; ",", "," &amp; SUBSTITUTE(A18, " ", "")&amp; ",")),
        ISNUMBER(SEARCH("," &amp;(LV!$B$10+5)&amp; ",", "," &amp; SUBSTITUTE(A18, " ", "")&amp; ",")))),
    "Extra",
    "Ei kuulu"))</f>
        <v>Ei kuulu</v>
      </c>
      <c r="C18" s="7" t="s">
        <v>28</v>
      </c>
      <c r="D18" s="7" t="str">
        <f>IF(ISNUMBER(SEARCH(LV!$I$5, Turvallinen_ja_toimintavarma!C18)), "K", "E")</f>
        <v>E</v>
      </c>
      <c r="E18" s="7" t="str">
        <f>IF(ISNUMBER(SEARCH(LV!$I$6, Turvallinen_ja_toimintavarma!$C18)), "K", "E")</f>
        <v>E</v>
      </c>
      <c r="F18" s="7" t="str">
        <f>IF(ISNUMBER(SEARCH(LV!$I$7, Turvallinen_ja_toimintavarma!$C18)), "K", "E")</f>
        <v>E</v>
      </c>
      <c r="G18" s="7" t="str">
        <f>IF(ISNUMBER(SEARCH(LV!$I$8, Turvallinen_ja_toimintavarma!$C18)), "K", "E")</f>
        <v>E</v>
      </c>
      <c r="H18" s="7" t="str">
        <f>IF(OR(KysymyksetTaulukko[[#This Row],[Toimiala A]]="K",KysymyksetTaulukko[[#This Row],[Toimiala B]]="K",KysymyksetTaulukko[[#This Row],[Toimiala C]]="K",KysymyksetTaulukko[[#This Row],[Toimiala D]]="K"),"Kuuluu","Ei kuulu")</f>
        <v>Ei kuulu</v>
      </c>
      <c r="I18" s="7" t="str">
        <f>IF(OR(KysymyksetTaulukko[[#This Row],[Luokka]]="Ei kuulu",KysymyksetTaulukko[[#This Row],[Toimiala-
kysymys]]="Ei kuulu"), "Ei kuulu", "Kuuluu")</f>
        <v>Ei kuulu</v>
      </c>
      <c r="J18" s="7" t="str">
        <f>IF(KysymyksetTaulukko[[#This Row],[Luokka + toimiala]]="Kuuluu","a) Oman vesilaitoksen kysymykset","b) Muut kysymykset")</f>
        <v>b) Muut kysymykset</v>
      </c>
      <c r="K18" s="125" t="s">
        <v>7</v>
      </c>
      <c r="L18" s="9" t="s">
        <v>26</v>
      </c>
      <c r="M18" s="61" t="str">
        <f>LEFT(KysymyksetTaulukko[[#This Row],[Alakategoria_]],2)</f>
        <v>2.</v>
      </c>
      <c r="N18" s="107" t="s">
        <v>11</v>
      </c>
      <c r="O18" s="70" t="s">
        <v>206</v>
      </c>
      <c r="P18" s="67" t="str">
        <f>IF(AND(KysymyksetTaulukko[[#This Row],[Luokka]]="Extra",KysymyksetTaulukko[[#This Row],[Luokka + toimiala]]="Kuuluu"),"Extra","")</f>
        <v/>
      </c>
      <c r="Q18" s="114"/>
      <c r="R18" s="64" t="s">
        <v>27</v>
      </c>
      <c r="S18" s="159"/>
      <c r="T18" s="123">
        <f>IF(AND(KysymyksetTaulukko[[#This Row],[Luokka + toimiala]]="Kuuluu",KysymyksetTaulukko[[#This Row],[Vastaus]]="Kyllä"),1,0)</f>
        <v>0</v>
      </c>
      <c r="U18" s="121">
        <f>IF(AND(KysymyksetTaulukko[[#This Row],[Maksimipisteet]]=1,NOT(ISBLANK(KysymyksetTaulukko[[#This Row],[Vastaus]]))),1,0)</f>
        <v>0</v>
      </c>
      <c r="V18" s="123">
        <f>IF(OR(KysymyksetTaulukko[[#This Row],[Luokka + toimiala]]="Ei kuulu",KysymyksetTaulukko[[#This Row],[Vastaus]]="Ei koske",KysymyksetTaulukko[[#This Row],[Luokka]]="Extra",KysymyksetTaulukko[[#This Row],[Otsikkorivi]]="Kyllä"),0,1)</f>
        <v>0</v>
      </c>
    </row>
    <row r="19" spans="1:22" ht="28.5" x14ac:dyDescent="0.35">
      <c r="A19" s="9" t="s">
        <v>12</v>
      </c>
      <c r="B19" s="3" t="str">
        <f>IF(ISNUMBER(SEARCH("," &amp; LV!$B$10 &amp; ",", "," &amp; SUBSTITUTE(A19, " ", "")&amp; ",")),
  "Kuuluu",
  IF(AND(LV!$B$10&gt;=2,
      LV!$B$10&lt;=4,
      OR(ISNUMBER(SEARCH("," &amp;(LV!$B$10+1)&amp; ",", "," &amp; SUBSTITUTE(A19, " ", "")&amp; ",")),
        ISNUMBER(SEARCH("," &amp;(LV!$B$10+2)&amp; ",", "," &amp; SUBSTITUTE(A19, " ", "")&amp; ",")),
        ISNUMBER(SEARCH("," &amp;(LV!$B$10+3)&amp; ",", "," &amp; SUBSTITUTE(A19, " ", "")&amp; ",")),
        ISNUMBER(SEARCH("," &amp;(LV!$B$10+4)&amp; ",", "," &amp; SUBSTITUTE(A19, " ", "")&amp; ",")),
        ISNUMBER(SEARCH("," &amp;(LV!$B$10+5)&amp; ",", "," &amp; SUBSTITUTE(A19, " ", "")&amp; ",")))),
    "Extra",
    "Ei kuulu"))</f>
        <v>Ei kuulu</v>
      </c>
      <c r="C19" s="3" t="s">
        <v>10</v>
      </c>
      <c r="D19" s="3" t="str">
        <f>IF(ISNUMBER(SEARCH(LV!$I$5, Turvallinen_ja_toimintavarma!C19)), "K", "E")</f>
        <v>E</v>
      </c>
      <c r="E19" s="3" t="str">
        <f>IF(ISNUMBER(SEARCH(LV!$I$6, Turvallinen_ja_toimintavarma!$C19)), "K", "E")</f>
        <v>E</v>
      </c>
      <c r="F19" s="3" t="str">
        <f>IF(ISNUMBER(SEARCH(LV!$I$7, Turvallinen_ja_toimintavarma!$C19)), "K", "E")</f>
        <v>E</v>
      </c>
      <c r="G19" s="3" t="str">
        <f>IF(ISNUMBER(SEARCH(LV!$I$8, Turvallinen_ja_toimintavarma!$C19)), "K", "E")</f>
        <v>E</v>
      </c>
      <c r="H19" s="3" t="str">
        <f>IF(OR(KysymyksetTaulukko[[#This Row],[Toimiala A]]="K",KysymyksetTaulukko[[#This Row],[Toimiala B]]="K",KysymyksetTaulukko[[#This Row],[Toimiala C]]="K",KysymyksetTaulukko[[#This Row],[Toimiala D]]="K"),"Kuuluu","Ei kuulu")</f>
        <v>Ei kuulu</v>
      </c>
      <c r="I19" s="3" t="str">
        <f>IF(OR(KysymyksetTaulukko[[#This Row],[Luokka]]="Ei kuulu",KysymyksetTaulukko[[#This Row],[Toimiala-
kysymys]]="Ei kuulu"), "Ei kuulu", "Kuuluu")</f>
        <v>Ei kuulu</v>
      </c>
      <c r="J19" s="3" t="str">
        <f>IF(KysymyksetTaulukko[[#This Row],[Luokka + toimiala]]="Kuuluu","a) Oman vesilaitoksen kysymykset","b) Muut kysymykset")</f>
        <v>b) Muut kysymykset</v>
      </c>
      <c r="K19" s="125" t="s">
        <v>7</v>
      </c>
      <c r="L19" s="9" t="s">
        <v>26</v>
      </c>
      <c r="M19" s="61" t="str">
        <f>LEFT(KysymyksetTaulukko[[#This Row],[Alakategoria_]],2)</f>
        <v>2.</v>
      </c>
      <c r="N19" s="110" t="s">
        <v>11</v>
      </c>
      <c r="O19" s="70" t="s">
        <v>206</v>
      </c>
      <c r="P19" s="67" t="str">
        <f>IF(AND(KysymyksetTaulukko[[#This Row],[Luokka]]="Extra",KysymyksetTaulukko[[#This Row],[Luokka + toimiala]]="Kuuluu"),"Extra","")</f>
        <v/>
      </c>
      <c r="Q19" s="114"/>
      <c r="R19" s="64" t="s">
        <v>29</v>
      </c>
      <c r="S19" s="159"/>
      <c r="T19" s="123">
        <f>IF(AND(KysymyksetTaulukko[[#This Row],[Luokka + toimiala]]="Kuuluu",KysymyksetTaulukko[[#This Row],[Vastaus]]="Kyllä"),1,0)</f>
        <v>0</v>
      </c>
      <c r="U19" s="121">
        <f>IF(AND(KysymyksetTaulukko[[#This Row],[Maksimipisteet]]=1,NOT(ISBLANK(KysymyksetTaulukko[[#This Row],[Vastaus]]))),1,0)</f>
        <v>0</v>
      </c>
      <c r="V19" s="123">
        <f>IF(OR(KysymyksetTaulukko[[#This Row],[Luokka + toimiala]]="Ei kuulu",KysymyksetTaulukko[[#This Row],[Vastaus]]="Ei koske",KysymyksetTaulukko[[#This Row],[Luokka]]="Extra",KysymyksetTaulukko[[#This Row],[Otsikkorivi]]="Kyllä"),0,1)</f>
        <v>0</v>
      </c>
    </row>
    <row r="20" spans="1:22" ht="29" x14ac:dyDescent="0.35">
      <c r="A20" s="9" t="s">
        <v>12</v>
      </c>
      <c r="B20" s="3" t="str">
        <f>IF(ISNUMBER(SEARCH("," &amp; LV!$B$10 &amp; ",", "," &amp; SUBSTITUTE(A20, " ", "")&amp; ",")),
  "Kuuluu",
  IF(AND(LV!$B$10&gt;=2,
      LV!$B$10&lt;=4,
      OR(ISNUMBER(SEARCH("," &amp;(LV!$B$10+1)&amp; ",", "," &amp; SUBSTITUTE(A20, " ", "")&amp; ",")),
        ISNUMBER(SEARCH("," &amp;(LV!$B$10+2)&amp; ",", "," &amp; SUBSTITUTE(A20, " ", "")&amp; ",")),
        ISNUMBER(SEARCH("," &amp;(LV!$B$10+3)&amp; ",", "," &amp; SUBSTITUTE(A20, " ", "")&amp; ",")),
        ISNUMBER(SEARCH("," &amp;(LV!$B$10+4)&amp; ",", "," &amp; SUBSTITUTE(A20, " ", "")&amp; ",")),
        ISNUMBER(SEARCH("," &amp;(LV!$B$10+5)&amp; ",", "," &amp; SUBSTITUTE(A20, " ", "")&amp; ",")))),
    "Extra",
    "Ei kuulu"))</f>
        <v>Ei kuulu</v>
      </c>
      <c r="C20" s="3" t="s">
        <v>31</v>
      </c>
      <c r="D20" s="3" t="str">
        <f>IF(ISNUMBER(SEARCH(LV!$I$5, Turvallinen_ja_toimintavarma!C20)), "K", "E")</f>
        <v>E</v>
      </c>
      <c r="E20" s="3" t="str">
        <f>IF(ISNUMBER(SEARCH(LV!$I$6, Turvallinen_ja_toimintavarma!$C20)), "K", "E")</f>
        <v>E</v>
      </c>
      <c r="F20" s="3" t="str">
        <f>IF(ISNUMBER(SEARCH(LV!$I$7, Turvallinen_ja_toimintavarma!$C20)), "K", "E")</f>
        <v>E</v>
      </c>
      <c r="G20" s="3" t="str">
        <f>IF(ISNUMBER(SEARCH(LV!$I$8, Turvallinen_ja_toimintavarma!$C20)), "K", "E")</f>
        <v>E</v>
      </c>
      <c r="H20" s="3" t="str">
        <f>IF(OR(KysymyksetTaulukko[[#This Row],[Toimiala A]]="K",KysymyksetTaulukko[[#This Row],[Toimiala B]]="K",KysymyksetTaulukko[[#This Row],[Toimiala C]]="K",KysymyksetTaulukko[[#This Row],[Toimiala D]]="K"),"Kuuluu","Ei kuulu")</f>
        <v>Ei kuulu</v>
      </c>
      <c r="I20" s="3" t="str">
        <f>IF(OR(KysymyksetTaulukko[[#This Row],[Luokka]]="Ei kuulu",KysymyksetTaulukko[[#This Row],[Toimiala-
kysymys]]="Ei kuulu"), "Ei kuulu", "Kuuluu")</f>
        <v>Ei kuulu</v>
      </c>
      <c r="J20" s="3" t="str">
        <f>IF(KysymyksetTaulukko[[#This Row],[Luokka + toimiala]]="Kuuluu","a) Oman vesilaitoksen kysymykset","b) Muut kysymykset")</f>
        <v>b) Muut kysymykset</v>
      </c>
      <c r="K20" s="125" t="s">
        <v>7</v>
      </c>
      <c r="L20" s="9" t="s">
        <v>26</v>
      </c>
      <c r="M20" s="61" t="str">
        <f>LEFT(KysymyksetTaulukko[[#This Row],[Alakategoria_]],2)</f>
        <v>2.</v>
      </c>
      <c r="N20" s="110" t="s">
        <v>11</v>
      </c>
      <c r="O20" s="70" t="s">
        <v>206</v>
      </c>
      <c r="P20" s="67" t="str">
        <f>IF(AND(KysymyksetTaulukko[[#This Row],[Luokka]]="Extra",KysymyksetTaulukko[[#This Row],[Luokka + toimiala]]="Kuuluu"),"Extra","")</f>
        <v/>
      </c>
      <c r="Q20" s="114"/>
      <c r="R20" s="64" t="s">
        <v>30</v>
      </c>
      <c r="S20" s="159"/>
      <c r="T20" s="123">
        <f>IF(AND(KysymyksetTaulukko[[#This Row],[Luokka + toimiala]]="Kuuluu",KysymyksetTaulukko[[#This Row],[Vastaus]]="Kyllä"),1,0)</f>
        <v>0</v>
      </c>
      <c r="U20" s="121">
        <f>IF(AND(KysymyksetTaulukko[[#This Row],[Maksimipisteet]]=1,NOT(ISBLANK(KysymyksetTaulukko[[#This Row],[Vastaus]]))),1,0)</f>
        <v>0</v>
      </c>
      <c r="V20" s="123">
        <f>IF(OR(KysymyksetTaulukko[[#This Row],[Luokka + toimiala]]="Ei kuulu",KysymyksetTaulukko[[#This Row],[Vastaus]]="Ei koske",KysymyksetTaulukko[[#This Row],[Luokka]]="Extra",KysymyksetTaulukko[[#This Row],[Otsikkorivi]]="Kyllä"),0,1)</f>
        <v>0</v>
      </c>
    </row>
    <row r="21" spans="1:22" ht="29" x14ac:dyDescent="0.35">
      <c r="A21" s="9" t="s">
        <v>12</v>
      </c>
      <c r="B21" s="3" t="str">
        <f>IF(ISNUMBER(SEARCH("," &amp; LV!$B$10 &amp; ",", "," &amp; SUBSTITUTE(A21, " ", "")&amp; ",")),
  "Kuuluu",
  IF(AND(LV!$B$10&gt;=2,
      LV!$B$10&lt;=4,
      OR(ISNUMBER(SEARCH("," &amp;(LV!$B$10+1)&amp; ",", "," &amp; SUBSTITUTE(A21, " ", "")&amp; ",")),
        ISNUMBER(SEARCH("," &amp;(LV!$B$10+2)&amp; ",", "," &amp; SUBSTITUTE(A21, " ", "")&amp; ",")),
        ISNUMBER(SEARCH("," &amp;(LV!$B$10+3)&amp; ",", "," &amp; SUBSTITUTE(A21, " ", "")&amp; ",")),
        ISNUMBER(SEARCH("," &amp;(LV!$B$10+4)&amp; ",", "," &amp; SUBSTITUTE(A21, " ", "")&amp; ",")),
        ISNUMBER(SEARCH("," &amp;(LV!$B$10+5)&amp; ",", "," &amp; SUBSTITUTE(A21, " ", "")&amp; ",")))),
    "Extra",
    "Ei kuulu"))</f>
        <v>Ei kuulu</v>
      </c>
      <c r="C21" s="3" t="s">
        <v>28</v>
      </c>
      <c r="D21" s="3" t="str">
        <f>IF(ISNUMBER(SEARCH(LV!$I$5, Turvallinen_ja_toimintavarma!C21)), "K", "E")</f>
        <v>E</v>
      </c>
      <c r="E21" s="3" t="str">
        <f>IF(ISNUMBER(SEARCH(LV!$I$6, Turvallinen_ja_toimintavarma!$C21)), "K", "E")</f>
        <v>E</v>
      </c>
      <c r="F21" s="3" t="str">
        <f>IF(ISNUMBER(SEARCH(LV!$I$7, Turvallinen_ja_toimintavarma!$C21)), "K", "E")</f>
        <v>E</v>
      </c>
      <c r="G21" s="3" t="str">
        <f>IF(ISNUMBER(SEARCH(LV!$I$8, Turvallinen_ja_toimintavarma!$C21)), "K", "E")</f>
        <v>E</v>
      </c>
      <c r="H21" s="3" t="str">
        <f>IF(OR(KysymyksetTaulukko[[#This Row],[Toimiala A]]="K",KysymyksetTaulukko[[#This Row],[Toimiala B]]="K",KysymyksetTaulukko[[#This Row],[Toimiala C]]="K",KysymyksetTaulukko[[#This Row],[Toimiala D]]="K"),"Kuuluu","Ei kuulu")</f>
        <v>Ei kuulu</v>
      </c>
      <c r="I21" s="3" t="str">
        <f>IF(OR(KysymyksetTaulukko[[#This Row],[Luokka]]="Ei kuulu",KysymyksetTaulukko[[#This Row],[Toimiala-
kysymys]]="Ei kuulu"), "Ei kuulu", "Kuuluu")</f>
        <v>Ei kuulu</v>
      </c>
      <c r="J21" s="3" t="str">
        <f>IF(KysymyksetTaulukko[[#This Row],[Luokka + toimiala]]="Kuuluu","a) Oman vesilaitoksen kysymykset","b) Muut kysymykset")</f>
        <v>b) Muut kysymykset</v>
      </c>
      <c r="K21" s="125" t="s">
        <v>7</v>
      </c>
      <c r="L21" s="9" t="s">
        <v>26</v>
      </c>
      <c r="M21" s="61" t="str">
        <f>LEFT(KysymyksetTaulukko[[#This Row],[Alakategoria_]],2)</f>
        <v>2.</v>
      </c>
      <c r="N21" s="110" t="s">
        <v>11</v>
      </c>
      <c r="O21" s="70" t="s">
        <v>206</v>
      </c>
      <c r="P21" s="67" t="str">
        <f>IF(AND(KysymyksetTaulukko[[#This Row],[Luokka]]="Extra",KysymyksetTaulukko[[#This Row],[Luokka + toimiala]]="Kuuluu"),"Extra","")</f>
        <v/>
      </c>
      <c r="Q21" s="114"/>
      <c r="R21" s="64" t="s">
        <v>32</v>
      </c>
      <c r="S21" s="159"/>
      <c r="T21" s="123">
        <f>IF(AND(KysymyksetTaulukko[[#This Row],[Luokka + toimiala]]="Kuuluu",KysymyksetTaulukko[[#This Row],[Vastaus]]="Kyllä"),1,0)</f>
        <v>0</v>
      </c>
      <c r="U21" s="121">
        <f>IF(AND(KysymyksetTaulukko[[#This Row],[Maksimipisteet]]=1,NOT(ISBLANK(KysymyksetTaulukko[[#This Row],[Vastaus]]))),1,0)</f>
        <v>0</v>
      </c>
      <c r="V21" s="123">
        <f>IF(OR(KysymyksetTaulukko[[#This Row],[Luokka + toimiala]]="Ei kuulu",KysymyksetTaulukko[[#This Row],[Vastaus]]="Ei koske",KysymyksetTaulukko[[#This Row],[Luokka]]="Extra",KysymyksetTaulukko[[#This Row],[Otsikkorivi]]="Kyllä"),0,1)</f>
        <v>0</v>
      </c>
    </row>
    <row r="22" spans="1:22" ht="29" x14ac:dyDescent="0.35">
      <c r="A22" s="9" t="s">
        <v>12</v>
      </c>
      <c r="B22" s="3" t="str">
        <f>IF(ISNUMBER(SEARCH("," &amp; LV!$B$10 &amp; ",", "," &amp; SUBSTITUTE(A22, " ", "")&amp; ",")),
  "Kuuluu",
  IF(AND(LV!$B$10&gt;=2,
      LV!$B$10&lt;=4,
      OR(ISNUMBER(SEARCH("," &amp;(LV!$B$10+1)&amp; ",", "," &amp; SUBSTITUTE(A22, " ", "")&amp; ",")),
        ISNUMBER(SEARCH("," &amp;(LV!$B$10+2)&amp; ",", "," &amp; SUBSTITUTE(A22, " ", "")&amp; ",")),
        ISNUMBER(SEARCH("," &amp;(LV!$B$10+3)&amp; ",", "," &amp; SUBSTITUTE(A22, " ", "")&amp; ",")),
        ISNUMBER(SEARCH("," &amp;(LV!$B$10+4)&amp; ",", "," &amp; SUBSTITUTE(A22, " ", "")&amp; ",")),
        ISNUMBER(SEARCH("," &amp;(LV!$B$10+5)&amp; ",", "," &amp; SUBSTITUTE(A22, " ", "")&amp; ",")))),
    "Extra",
    "Ei kuulu"))</f>
        <v>Ei kuulu</v>
      </c>
      <c r="C22" s="3" t="s">
        <v>28</v>
      </c>
      <c r="D22" s="3" t="str">
        <f>IF(ISNUMBER(SEARCH(LV!$I$5, Turvallinen_ja_toimintavarma!C22)), "K", "E")</f>
        <v>E</v>
      </c>
      <c r="E22" s="3" t="str">
        <f>IF(ISNUMBER(SEARCH(LV!$I$6, Turvallinen_ja_toimintavarma!$C22)), "K", "E")</f>
        <v>E</v>
      </c>
      <c r="F22" s="3" t="str">
        <f>IF(ISNUMBER(SEARCH(LV!$I$7, Turvallinen_ja_toimintavarma!$C22)), "K", "E")</f>
        <v>E</v>
      </c>
      <c r="G22" s="3" t="str">
        <f>IF(ISNUMBER(SEARCH(LV!$I$8, Turvallinen_ja_toimintavarma!$C22)), "K", "E")</f>
        <v>E</v>
      </c>
      <c r="H22" s="3" t="str">
        <f>IF(OR(KysymyksetTaulukko[[#This Row],[Toimiala A]]="K",KysymyksetTaulukko[[#This Row],[Toimiala B]]="K",KysymyksetTaulukko[[#This Row],[Toimiala C]]="K",KysymyksetTaulukko[[#This Row],[Toimiala D]]="K"),"Kuuluu","Ei kuulu")</f>
        <v>Ei kuulu</v>
      </c>
      <c r="I22" s="3" t="str">
        <f>IF(OR(KysymyksetTaulukko[[#This Row],[Luokka]]="Ei kuulu",KysymyksetTaulukko[[#This Row],[Toimiala-
kysymys]]="Ei kuulu"), "Ei kuulu", "Kuuluu")</f>
        <v>Ei kuulu</v>
      </c>
      <c r="J22" s="3" t="str">
        <f>IF(KysymyksetTaulukko[[#This Row],[Luokka + toimiala]]="Kuuluu","a) Oman vesilaitoksen kysymykset","b) Muut kysymykset")</f>
        <v>b) Muut kysymykset</v>
      </c>
      <c r="K22" s="125" t="s">
        <v>7</v>
      </c>
      <c r="L22" s="9" t="s">
        <v>26</v>
      </c>
      <c r="M22" s="61" t="str">
        <f>LEFT(KysymyksetTaulukko[[#This Row],[Alakategoria_]],2)</f>
        <v>2.</v>
      </c>
      <c r="N22" s="110" t="s">
        <v>11</v>
      </c>
      <c r="O22" s="70" t="s">
        <v>206</v>
      </c>
      <c r="P22" s="67" t="str">
        <f>IF(AND(KysymyksetTaulukko[[#This Row],[Luokka]]="Extra",KysymyksetTaulukko[[#This Row],[Luokka + toimiala]]="Kuuluu"),"Extra","")</f>
        <v/>
      </c>
      <c r="Q22" s="114"/>
      <c r="R22" s="64" t="s">
        <v>33</v>
      </c>
      <c r="S22" s="159"/>
      <c r="T22" s="123">
        <f>IF(AND(KysymyksetTaulukko[[#This Row],[Luokka + toimiala]]="Kuuluu",KysymyksetTaulukko[[#This Row],[Vastaus]]="Kyllä"),1,0)</f>
        <v>0</v>
      </c>
      <c r="U22" s="121">
        <f>IF(AND(KysymyksetTaulukko[[#This Row],[Maksimipisteet]]=1,NOT(ISBLANK(KysymyksetTaulukko[[#This Row],[Vastaus]]))),1,0)</f>
        <v>0</v>
      </c>
      <c r="V22" s="123">
        <f>IF(OR(KysymyksetTaulukko[[#This Row],[Luokka + toimiala]]="Ei kuulu",KysymyksetTaulukko[[#This Row],[Vastaus]]="Ei koske",KysymyksetTaulukko[[#This Row],[Luokka]]="Extra",KysymyksetTaulukko[[#This Row],[Otsikkorivi]]="Kyllä"),0,1)</f>
        <v>0</v>
      </c>
    </row>
    <row r="23" spans="1:22" ht="29" x14ac:dyDescent="0.35">
      <c r="A23" s="9" t="s">
        <v>12</v>
      </c>
      <c r="B23" s="3" t="str">
        <f>IF(ISNUMBER(SEARCH("," &amp; LV!$B$10 &amp; ",", "," &amp; SUBSTITUTE(A23, " ", "")&amp; ",")),
  "Kuuluu",
  IF(AND(LV!$B$10&gt;=2,
      LV!$B$10&lt;=4,
      OR(ISNUMBER(SEARCH("," &amp;(LV!$B$10+1)&amp; ",", "," &amp; SUBSTITUTE(A23, " ", "")&amp; ",")),
        ISNUMBER(SEARCH("," &amp;(LV!$B$10+2)&amp; ",", "," &amp; SUBSTITUTE(A23, " ", "")&amp; ",")),
        ISNUMBER(SEARCH("," &amp;(LV!$B$10+3)&amp; ",", "," &amp; SUBSTITUTE(A23, " ", "")&amp; ",")),
        ISNUMBER(SEARCH("," &amp;(LV!$B$10+4)&amp; ",", "," &amp; SUBSTITUTE(A23, " ", "")&amp; ",")),
        ISNUMBER(SEARCH("," &amp;(LV!$B$10+5)&amp; ",", "," &amp; SUBSTITUTE(A23, " ", "")&amp; ",")))),
    "Extra",
    "Ei kuulu"))</f>
        <v>Ei kuulu</v>
      </c>
      <c r="C23" s="3" t="s">
        <v>10</v>
      </c>
      <c r="D23" s="3" t="str">
        <f>IF(ISNUMBER(SEARCH(LV!$I$5, Turvallinen_ja_toimintavarma!C23)), "K", "E")</f>
        <v>E</v>
      </c>
      <c r="E23" s="3" t="str">
        <f>IF(ISNUMBER(SEARCH(LV!$I$6, Turvallinen_ja_toimintavarma!$C23)), "K", "E")</f>
        <v>E</v>
      </c>
      <c r="F23" s="3" t="str">
        <f>IF(ISNUMBER(SEARCH(LV!$I$7, Turvallinen_ja_toimintavarma!$C23)), "K", "E")</f>
        <v>E</v>
      </c>
      <c r="G23" s="3" t="str">
        <f>IF(ISNUMBER(SEARCH(LV!$I$8, Turvallinen_ja_toimintavarma!$C23)), "K", "E")</f>
        <v>E</v>
      </c>
      <c r="H23" s="3" t="str">
        <f>IF(OR(KysymyksetTaulukko[[#This Row],[Toimiala A]]="K",KysymyksetTaulukko[[#This Row],[Toimiala B]]="K",KysymyksetTaulukko[[#This Row],[Toimiala C]]="K",KysymyksetTaulukko[[#This Row],[Toimiala D]]="K"),"Kuuluu","Ei kuulu")</f>
        <v>Ei kuulu</v>
      </c>
      <c r="I23" s="3" t="str">
        <f>IF(OR(KysymyksetTaulukko[[#This Row],[Luokka]]="Ei kuulu",KysymyksetTaulukko[[#This Row],[Toimiala-
kysymys]]="Ei kuulu"), "Ei kuulu", "Kuuluu")</f>
        <v>Ei kuulu</v>
      </c>
      <c r="J23" s="3" t="str">
        <f>IF(KysymyksetTaulukko[[#This Row],[Luokka + toimiala]]="Kuuluu","a) Oman vesilaitoksen kysymykset","b) Muut kysymykset")</f>
        <v>b) Muut kysymykset</v>
      </c>
      <c r="K23" s="125" t="s">
        <v>7</v>
      </c>
      <c r="L23" s="9" t="s">
        <v>26</v>
      </c>
      <c r="M23" s="61" t="str">
        <f>LEFT(KysymyksetTaulukko[[#This Row],[Alakategoria_]],2)</f>
        <v>2.</v>
      </c>
      <c r="N23" s="110" t="s">
        <v>11</v>
      </c>
      <c r="O23" s="70" t="s">
        <v>206</v>
      </c>
      <c r="P23" s="67" t="str">
        <f>IF(AND(KysymyksetTaulukko[[#This Row],[Luokka]]="Extra",KysymyksetTaulukko[[#This Row],[Luokka + toimiala]]="Kuuluu"),"Extra","")</f>
        <v/>
      </c>
      <c r="Q23" s="114"/>
      <c r="R23" s="64" t="s">
        <v>34</v>
      </c>
      <c r="S23" s="159"/>
      <c r="T23" s="123">
        <f>IF(AND(KysymyksetTaulukko[[#This Row],[Luokka + toimiala]]="Kuuluu",KysymyksetTaulukko[[#This Row],[Vastaus]]="Kyllä"),1,0)</f>
        <v>0</v>
      </c>
      <c r="U23" s="121">
        <f>IF(AND(KysymyksetTaulukko[[#This Row],[Maksimipisteet]]=1,NOT(ISBLANK(KysymyksetTaulukko[[#This Row],[Vastaus]]))),1,0)</f>
        <v>0</v>
      </c>
      <c r="V23" s="123">
        <f>IF(OR(KysymyksetTaulukko[[#This Row],[Luokka + toimiala]]="Ei kuulu",KysymyksetTaulukko[[#This Row],[Vastaus]]="Ei koske",KysymyksetTaulukko[[#This Row],[Luokka]]="Extra",KysymyksetTaulukko[[#This Row],[Otsikkorivi]]="Kyllä"),0,1)</f>
        <v>0</v>
      </c>
    </row>
    <row r="24" spans="1:22" ht="28.5" x14ac:dyDescent="0.35">
      <c r="A24" s="9" t="s">
        <v>12</v>
      </c>
      <c r="B24" s="3" t="str">
        <f>IF(ISNUMBER(SEARCH("," &amp; LV!$B$10 &amp; ",", "," &amp; SUBSTITUTE(A24, " ", "")&amp; ",")),
  "Kuuluu",
  IF(AND(LV!$B$10&gt;=2,
      LV!$B$10&lt;=4,
      OR(ISNUMBER(SEARCH("," &amp;(LV!$B$10+1)&amp; ",", "," &amp; SUBSTITUTE(A24, " ", "")&amp; ",")),
        ISNUMBER(SEARCH("," &amp;(LV!$B$10+2)&amp; ",", "," &amp; SUBSTITUTE(A24, " ", "")&amp; ",")),
        ISNUMBER(SEARCH("," &amp;(LV!$B$10+3)&amp; ",", "," &amp; SUBSTITUTE(A24, " ", "")&amp; ",")),
        ISNUMBER(SEARCH("," &amp;(LV!$B$10+4)&amp; ",", "," &amp; SUBSTITUTE(A24, " ", "")&amp; ",")),
        ISNUMBER(SEARCH("," &amp;(LV!$B$10+5)&amp; ",", "," &amp; SUBSTITUTE(A24, " ", "")&amp; ",")))),
    "Extra",
    "Ei kuulu"))</f>
        <v>Ei kuulu</v>
      </c>
      <c r="C24" s="3" t="s">
        <v>28</v>
      </c>
      <c r="D24" s="3" t="str">
        <f>IF(ISNUMBER(SEARCH(LV!$I$5, Turvallinen_ja_toimintavarma!C24)), "K", "E")</f>
        <v>E</v>
      </c>
      <c r="E24" s="3" t="str">
        <f>IF(ISNUMBER(SEARCH(LV!$I$6, Turvallinen_ja_toimintavarma!$C24)), "K", "E")</f>
        <v>E</v>
      </c>
      <c r="F24" s="3" t="str">
        <f>IF(ISNUMBER(SEARCH(LV!$I$7, Turvallinen_ja_toimintavarma!$C24)), "K", "E")</f>
        <v>E</v>
      </c>
      <c r="G24" s="3" t="str">
        <f>IF(ISNUMBER(SEARCH(LV!$I$8, Turvallinen_ja_toimintavarma!$C24)), "K", "E")</f>
        <v>E</v>
      </c>
      <c r="H24" s="3" t="str">
        <f>IF(OR(KysymyksetTaulukko[[#This Row],[Toimiala A]]="K",KysymyksetTaulukko[[#This Row],[Toimiala B]]="K",KysymyksetTaulukko[[#This Row],[Toimiala C]]="K",KysymyksetTaulukko[[#This Row],[Toimiala D]]="K"),"Kuuluu","Ei kuulu")</f>
        <v>Ei kuulu</v>
      </c>
      <c r="I24" s="3" t="str">
        <f>IF(OR(KysymyksetTaulukko[[#This Row],[Luokka]]="Ei kuulu",KysymyksetTaulukko[[#This Row],[Toimiala-
kysymys]]="Ei kuulu"), "Ei kuulu", "Kuuluu")</f>
        <v>Ei kuulu</v>
      </c>
      <c r="J24" s="3" t="str">
        <f>IF(KysymyksetTaulukko[[#This Row],[Luokka + toimiala]]="Kuuluu","a) Oman vesilaitoksen kysymykset","b) Muut kysymykset")</f>
        <v>b) Muut kysymykset</v>
      </c>
      <c r="K24" s="125" t="s">
        <v>7</v>
      </c>
      <c r="L24" s="9" t="s">
        <v>26</v>
      </c>
      <c r="M24" s="61" t="str">
        <f>LEFT(KysymyksetTaulukko[[#This Row],[Alakategoria_]],2)</f>
        <v>2.</v>
      </c>
      <c r="N24" s="110" t="s">
        <v>11</v>
      </c>
      <c r="O24" s="70" t="s">
        <v>206</v>
      </c>
      <c r="P24" s="67" t="str">
        <f>IF(AND(KysymyksetTaulukko[[#This Row],[Luokka]]="Extra",KysymyksetTaulukko[[#This Row],[Luokka + toimiala]]="Kuuluu"),"Extra","")</f>
        <v/>
      </c>
      <c r="Q24" s="114"/>
      <c r="R24" s="64" t="s">
        <v>35</v>
      </c>
      <c r="S24" s="159"/>
      <c r="T24" s="123">
        <f>IF(AND(KysymyksetTaulukko[[#This Row],[Luokka + toimiala]]="Kuuluu",KysymyksetTaulukko[[#This Row],[Vastaus]]="Kyllä"),1,0)</f>
        <v>0</v>
      </c>
      <c r="U24" s="121">
        <f>IF(AND(KysymyksetTaulukko[[#This Row],[Maksimipisteet]]=1,NOT(ISBLANK(KysymyksetTaulukko[[#This Row],[Vastaus]]))),1,0)</f>
        <v>0</v>
      </c>
      <c r="V24" s="123">
        <f>IF(OR(KysymyksetTaulukko[[#This Row],[Luokka + toimiala]]="Ei kuulu",KysymyksetTaulukko[[#This Row],[Vastaus]]="Ei koske",KysymyksetTaulukko[[#This Row],[Luokka]]="Extra",KysymyksetTaulukko[[#This Row],[Otsikkorivi]]="Kyllä"),0,1)</f>
        <v>0</v>
      </c>
    </row>
    <row r="25" spans="1:22" ht="28.5" x14ac:dyDescent="0.35">
      <c r="A25" s="9" t="s">
        <v>12</v>
      </c>
      <c r="B25" s="3" t="str">
        <f>IF(ISNUMBER(SEARCH("," &amp; LV!$B$10 &amp; ",", "," &amp; SUBSTITUTE(A25, " ", "")&amp; ",")),
  "Kuuluu",
  IF(AND(LV!$B$10&gt;=2,
      LV!$B$10&lt;=4,
      OR(ISNUMBER(SEARCH("," &amp;(LV!$B$10+1)&amp; ",", "," &amp; SUBSTITUTE(A25, " ", "")&amp; ",")),
        ISNUMBER(SEARCH("," &amp;(LV!$B$10+2)&amp; ",", "," &amp; SUBSTITUTE(A25, " ", "")&amp; ",")),
        ISNUMBER(SEARCH("," &amp;(LV!$B$10+3)&amp; ",", "," &amp; SUBSTITUTE(A25, " ", "")&amp; ",")),
        ISNUMBER(SEARCH("," &amp;(LV!$B$10+4)&amp; ",", "," &amp; SUBSTITUTE(A25, " ", "")&amp; ",")),
        ISNUMBER(SEARCH("," &amp;(LV!$B$10+5)&amp; ",", "," &amp; SUBSTITUTE(A25, " ", "")&amp; ",")))),
    "Extra",
    "Ei kuulu"))</f>
        <v>Ei kuulu</v>
      </c>
      <c r="C25" s="3" t="s">
        <v>28</v>
      </c>
      <c r="D25" s="3" t="str">
        <f>IF(ISNUMBER(SEARCH(LV!$I$5, Turvallinen_ja_toimintavarma!C25)), "K", "E")</f>
        <v>E</v>
      </c>
      <c r="E25" s="3" t="str">
        <f>IF(ISNUMBER(SEARCH(LV!$I$6, Turvallinen_ja_toimintavarma!$C25)), "K", "E")</f>
        <v>E</v>
      </c>
      <c r="F25" s="3" t="str">
        <f>IF(ISNUMBER(SEARCH(LV!$I$7, Turvallinen_ja_toimintavarma!$C25)), "K", "E")</f>
        <v>E</v>
      </c>
      <c r="G25" s="3" t="str">
        <f>IF(ISNUMBER(SEARCH(LV!$I$8, Turvallinen_ja_toimintavarma!$C25)), "K", "E")</f>
        <v>E</v>
      </c>
      <c r="H25" s="3" t="str">
        <f>IF(OR(KysymyksetTaulukko[[#This Row],[Toimiala A]]="K",KysymyksetTaulukko[[#This Row],[Toimiala B]]="K",KysymyksetTaulukko[[#This Row],[Toimiala C]]="K",KysymyksetTaulukko[[#This Row],[Toimiala D]]="K"),"Kuuluu","Ei kuulu")</f>
        <v>Ei kuulu</v>
      </c>
      <c r="I25" s="3" t="str">
        <f>IF(OR(KysymyksetTaulukko[[#This Row],[Luokka]]="Ei kuulu",KysymyksetTaulukko[[#This Row],[Toimiala-
kysymys]]="Ei kuulu"), "Ei kuulu", "Kuuluu")</f>
        <v>Ei kuulu</v>
      </c>
      <c r="J25" s="3" t="str">
        <f>IF(KysymyksetTaulukko[[#This Row],[Luokka + toimiala]]="Kuuluu","a) Oman vesilaitoksen kysymykset","b) Muut kysymykset")</f>
        <v>b) Muut kysymykset</v>
      </c>
      <c r="K25" s="125" t="s">
        <v>7</v>
      </c>
      <c r="L25" s="9" t="s">
        <v>26</v>
      </c>
      <c r="M25" s="61" t="str">
        <f>LEFT(KysymyksetTaulukko[[#This Row],[Alakategoria_]],2)</f>
        <v>2.</v>
      </c>
      <c r="N25" s="110" t="s">
        <v>11</v>
      </c>
      <c r="O25" s="70" t="s">
        <v>206</v>
      </c>
      <c r="P25" s="67" t="str">
        <f>IF(AND(KysymyksetTaulukko[[#This Row],[Luokka]]="Extra",KysymyksetTaulukko[[#This Row],[Luokka + toimiala]]="Kuuluu"),"Extra","")</f>
        <v/>
      </c>
      <c r="Q25" s="114"/>
      <c r="R25" s="64" t="s">
        <v>36</v>
      </c>
      <c r="S25" s="159"/>
      <c r="T25" s="123">
        <f>IF(AND(KysymyksetTaulukko[[#This Row],[Luokka + toimiala]]="Kuuluu",KysymyksetTaulukko[[#This Row],[Vastaus]]="Kyllä"),1,0)</f>
        <v>0</v>
      </c>
      <c r="U25" s="121">
        <f>IF(AND(KysymyksetTaulukko[[#This Row],[Maksimipisteet]]=1,NOT(ISBLANK(KysymyksetTaulukko[[#This Row],[Vastaus]]))),1,0)</f>
        <v>0</v>
      </c>
      <c r="V25" s="123">
        <f>IF(OR(KysymyksetTaulukko[[#This Row],[Luokka + toimiala]]="Ei kuulu",KysymyksetTaulukko[[#This Row],[Vastaus]]="Ei koske",KysymyksetTaulukko[[#This Row],[Luokka]]="Extra",KysymyksetTaulukko[[#This Row],[Otsikkorivi]]="Kyllä"),0,1)</f>
        <v>0</v>
      </c>
    </row>
    <row r="26" spans="1:22" ht="28.5" x14ac:dyDescent="0.35">
      <c r="A26" s="9" t="s">
        <v>12</v>
      </c>
      <c r="B26" s="3" t="str">
        <f>IF(ISNUMBER(SEARCH("," &amp; LV!$B$10 &amp; ",", "," &amp; SUBSTITUTE(A26, " ", "")&amp; ",")),
  "Kuuluu",
  IF(AND(LV!$B$10&gt;=2,
      LV!$B$10&lt;=4,
      OR(ISNUMBER(SEARCH("," &amp;(LV!$B$10+1)&amp; ",", "," &amp; SUBSTITUTE(A26, " ", "")&amp; ",")),
        ISNUMBER(SEARCH("," &amp;(LV!$B$10+2)&amp; ",", "," &amp; SUBSTITUTE(A26, " ", "")&amp; ",")),
        ISNUMBER(SEARCH("," &amp;(LV!$B$10+3)&amp; ",", "," &amp; SUBSTITUTE(A26, " ", "")&amp; ",")),
        ISNUMBER(SEARCH("," &amp;(LV!$B$10+4)&amp; ",", "," &amp; SUBSTITUTE(A26, " ", "")&amp; ",")),
        ISNUMBER(SEARCH("," &amp;(LV!$B$10+5)&amp; ",", "," &amp; SUBSTITUTE(A26, " ", "")&amp; ",")))),
    "Extra",
    "Ei kuulu"))</f>
        <v>Ei kuulu</v>
      </c>
      <c r="C26" s="3" t="s">
        <v>28</v>
      </c>
      <c r="D26" s="3" t="str">
        <f>IF(ISNUMBER(SEARCH(LV!$I$5, Turvallinen_ja_toimintavarma!C26)), "K", "E")</f>
        <v>E</v>
      </c>
      <c r="E26" s="3" t="str">
        <f>IF(ISNUMBER(SEARCH(LV!$I$6, Turvallinen_ja_toimintavarma!$C26)), "K", "E")</f>
        <v>E</v>
      </c>
      <c r="F26" s="3" t="str">
        <f>IF(ISNUMBER(SEARCH(LV!$I$7, Turvallinen_ja_toimintavarma!$C26)), "K", "E")</f>
        <v>E</v>
      </c>
      <c r="G26" s="3" t="str">
        <f>IF(ISNUMBER(SEARCH(LV!$I$8, Turvallinen_ja_toimintavarma!$C26)), "K", "E")</f>
        <v>E</v>
      </c>
      <c r="H26" s="3" t="str">
        <f>IF(OR(KysymyksetTaulukko[[#This Row],[Toimiala A]]="K",KysymyksetTaulukko[[#This Row],[Toimiala B]]="K",KysymyksetTaulukko[[#This Row],[Toimiala C]]="K",KysymyksetTaulukko[[#This Row],[Toimiala D]]="K"),"Kuuluu","Ei kuulu")</f>
        <v>Ei kuulu</v>
      </c>
      <c r="I26" s="3" t="str">
        <f>IF(OR(KysymyksetTaulukko[[#This Row],[Luokka]]="Ei kuulu",KysymyksetTaulukko[[#This Row],[Toimiala-
kysymys]]="Ei kuulu"), "Ei kuulu", "Kuuluu")</f>
        <v>Ei kuulu</v>
      </c>
      <c r="J26" s="3" t="str">
        <f>IF(KysymyksetTaulukko[[#This Row],[Luokka + toimiala]]="Kuuluu","a) Oman vesilaitoksen kysymykset","b) Muut kysymykset")</f>
        <v>b) Muut kysymykset</v>
      </c>
      <c r="K26" s="125" t="s">
        <v>7</v>
      </c>
      <c r="L26" s="9" t="s">
        <v>26</v>
      </c>
      <c r="M26" s="61" t="str">
        <f>LEFT(KysymyksetTaulukko[[#This Row],[Alakategoria_]],2)</f>
        <v>2.</v>
      </c>
      <c r="N26" s="110" t="s">
        <v>11</v>
      </c>
      <c r="O26" s="70" t="s">
        <v>206</v>
      </c>
      <c r="P26" s="67" t="str">
        <f>IF(AND(KysymyksetTaulukko[[#This Row],[Luokka]]="Extra",KysymyksetTaulukko[[#This Row],[Luokka + toimiala]]="Kuuluu"),"Extra","")</f>
        <v/>
      </c>
      <c r="Q26" s="114"/>
      <c r="R26" s="64" t="s">
        <v>37</v>
      </c>
      <c r="S26" s="159"/>
      <c r="T26" s="123">
        <f>IF(AND(KysymyksetTaulukko[[#This Row],[Luokka + toimiala]]="Kuuluu",KysymyksetTaulukko[[#This Row],[Vastaus]]="Kyllä"),1,0)</f>
        <v>0</v>
      </c>
      <c r="U26" s="121">
        <f>IF(AND(KysymyksetTaulukko[[#This Row],[Maksimipisteet]]=1,NOT(ISBLANK(KysymyksetTaulukko[[#This Row],[Vastaus]]))),1,0)</f>
        <v>0</v>
      </c>
      <c r="V26" s="123">
        <f>IF(OR(KysymyksetTaulukko[[#This Row],[Luokka + toimiala]]="Ei kuulu",KysymyksetTaulukko[[#This Row],[Vastaus]]="Ei koske",KysymyksetTaulukko[[#This Row],[Luokka]]="Extra",KysymyksetTaulukko[[#This Row],[Otsikkorivi]]="Kyllä"),0,1)</f>
        <v>0</v>
      </c>
    </row>
    <row r="27" spans="1:22" ht="29" x14ac:dyDescent="0.35">
      <c r="A27" s="9" t="s">
        <v>12</v>
      </c>
      <c r="B27" s="3" t="str">
        <f>IF(ISNUMBER(SEARCH("," &amp; LV!$B$10 &amp; ",", "," &amp; SUBSTITUTE(A27, " ", "")&amp; ",")),
  "Kuuluu",
  IF(AND(LV!$B$10&gt;=2,
      LV!$B$10&lt;=4,
      OR(ISNUMBER(SEARCH("," &amp;(LV!$B$10+1)&amp; ",", "," &amp; SUBSTITUTE(A27, " ", "")&amp; ",")),
        ISNUMBER(SEARCH("," &amp;(LV!$B$10+2)&amp; ",", "," &amp; SUBSTITUTE(A27, " ", "")&amp; ",")),
        ISNUMBER(SEARCH("," &amp;(LV!$B$10+3)&amp; ",", "," &amp; SUBSTITUTE(A27, " ", "")&amp; ",")),
        ISNUMBER(SEARCH("," &amp;(LV!$B$10+4)&amp; ",", "," &amp; SUBSTITUTE(A27, " ", "")&amp; ",")),
        ISNUMBER(SEARCH("," &amp;(LV!$B$10+5)&amp; ",", "," &amp; SUBSTITUTE(A27, " ", "")&amp; ",")))),
    "Extra",
    "Ei kuulu"))</f>
        <v>Ei kuulu</v>
      </c>
      <c r="C27" s="3" t="s">
        <v>28</v>
      </c>
      <c r="D27" s="3" t="str">
        <f>IF(ISNUMBER(SEARCH(LV!$I$5, Turvallinen_ja_toimintavarma!C27)), "K", "E")</f>
        <v>E</v>
      </c>
      <c r="E27" s="3" t="str">
        <f>IF(ISNUMBER(SEARCH(LV!$I$6, Turvallinen_ja_toimintavarma!$C27)), "K", "E")</f>
        <v>E</v>
      </c>
      <c r="F27" s="3" t="str">
        <f>IF(ISNUMBER(SEARCH(LV!$I$7, Turvallinen_ja_toimintavarma!$C27)), "K", "E")</f>
        <v>E</v>
      </c>
      <c r="G27" s="3" t="str">
        <f>IF(ISNUMBER(SEARCH(LV!$I$8, Turvallinen_ja_toimintavarma!$C27)), "K", "E")</f>
        <v>E</v>
      </c>
      <c r="H27" s="3" t="str">
        <f>IF(OR(KysymyksetTaulukko[[#This Row],[Toimiala A]]="K",KysymyksetTaulukko[[#This Row],[Toimiala B]]="K",KysymyksetTaulukko[[#This Row],[Toimiala C]]="K",KysymyksetTaulukko[[#This Row],[Toimiala D]]="K"),"Kuuluu","Ei kuulu")</f>
        <v>Ei kuulu</v>
      </c>
      <c r="I27" s="3" t="str">
        <f>IF(OR(KysymyksetTaulukko[[#This Row],[Luokka]]="Ei kuulu",KysymyksetTaulukko[[#This Row],[Toimiala-
kysymys]]="Ei kuulu"), "Ei kuulu", "Kuuluu")</f>
        <v>Ei kuulu</v>
      </c>
      <c r="J27" s="3" t="str">
        <f>IF(KysymyksetTaulukko[[#This Row],[Luokka + toimiala]]="Kuuluu","a) Oman vesilaitoksen kysymykset","b) Muut kysymykset")</f>
        <v>b) Muut kysymykset</v>
      </c>
      <c r="K27" s="125" t="s">
        <v>7</v>
      </c>
      <c r="L27" s="9" t="s">
        <v>26</v>
      </c>
      <c r="M27" s="61" t="str">
        <f>LEFT(KysymyksetTaulukko[[#This Row],[Alakategoria_]],2)</f>
        <v>2.</v>
      </c>
      <c r="N27" s="110" t="s">
        <v>11</v>
      </c>
      <c r="O27" s="70" t="s">
        <v>206</v>
      </c>
      <c r="P27" s="67" t="str">
        <f>IF(AND(KysymyksetTaulukko[[#This Row],[Luokka]]="Extra",KysymyksetTaulukko[[#This Row],[Luokka + toimiala]]="Kuuluu"),"Extra","")</f>
        <v/>
      </c>
      <c r="Q27" s="114"/>
      <c r="R27" s="64" t="s">
        <v>38</v>
      </c>
      <c r="S27" s="159"/>
      <c r="T27" s="123">
        <f>IF(AND(KysymyksetTaulukko[[#This Row],[Luokka + toimiala]]="Kuuluu",KysymyksetTaulukko[[#This Row],[Vastaus]]="Kyllä"),1,0)</f>
        <v>0</v>
      </c>
      <c r="U27" s="121">
        <f>IF(AND(KysymyksetTaulukko[[#This Row],[Maksimipisteet]]=1,NOT(ISBLANK(KysymyksetTaulukko[[#This Row],[Vastaus]]))),1,0)</f>
        <v>0</v>
      </c>
      <c r="V27" s="123">
        <f>IF(OR(KysymyksetTaulukko[[#This Row],[Luokka + toimiala]]="Ei kuulu",KysymyksetTaulukko[[#This Row],[Vastaus]]="Ei koske",KysymyksetTaulukko[[#This Row],[Luokka]]="Extra",KysymyksetTaulukko[[#This Row],[Otsikkorivi]]="Kyllä"),0,1)</f>
        <v>0</v>
      </c>
    </row>
    <row r="28" spans="1:22" ht="29" x14ac:dyDescent="0.35">
      <c r="A28" s="9">
        <v>1.2</v>
      </c>
      <c r="B28" s="3" t="str">
        <f>IF(ISNUMBER(SEARCH("," &amp; LV!$B$10 &amp; ",", "," &amp; SUBSTITUTE(A28, " ", "")&amp; ",")),
  "Kuuluu",
  IF(AND(LV!$B$10&gt;=2,
      LV!$B$10&lt;=4,
      OR(ISNUMBER(SEARCH("," &amp;(LV!$B$10+1)&amp; ",", "," &amp; SUBSTITUTE(A28, " ", "")&amp; ",")),
        ISNUMBER(SEARCH("," &amp;(LV!$B$10+2)&amp; ",", "," &amp; SUBSTITUTE(A28, " ", "")&amp; ",")),
        ISNUMBER(SEARCH("," &amp;(LV!$B$10+3)&amp; ",", "," &amp; SUBSTITUTE(A28, " ", "")&amp; ",")),
        ISNUMBER(SEARCH("," &amp;(LV!$B$10+4)&amp; ",", "," &amp; SUBSTITUTE(A28, " ", "")&amp; ",")),
        ISNUMBER(SEARCH("," &amp;(LV!$B$10+5)&amp; ",", "," &amp; SUBSTITUTE(A28, " ", "")&amp; ",")))),
    "Extra",
    "Ei kuulu"))</f>
        <v>Ei kuulu</v>
      </c>
      <c r="C28" s="3" t="s">
        <v>10</v>
      </c>
      <c r="D28" s="3" t="str">
        <f>IF(ISNUMBER(SEARCH(LV!$I$5, Turvallinen_ja_toimintavarma!C28)), "K", "E")</f>
        <v>E</v>
      </c>
      <c r="E28" s="3" t="str">
        <f>IF(ISNUMBER(SEARCH(LV!$I$6, Turvallinen_ja_toimintavarma!$C28)), "K", "E")</f>
        <v>E</v>
      </c>
      <c r="F28" s="3" t="str">
        <f>IF(ISNUMBER(SEARCH(LV!$I$7, Turvallinen_ja_toimintavarma!$C28)), "K", "E")</f>
        <v>E</v>
      </c>
      <c r="G28" s="3" t="str">
        <f>IF(ISNUMBER(SEARCH(LV!$I$8, Turvallinen_ja_toimintavarma!$C28)), "K", "E")</f>
        <v>E</v>
      </c>
      <c r="H28" s="3" t="str">
        <f>IF(OR(KysymyksetTaulukko[[#This Row],[Toimiala A]]="K",KysymyksetTaulukko[[#This Row],[Toimiala B]]="K",KysymyksetTaulukko[[#This Row],[Toimiala C]]="K",KysymyksetTaulukko[[#This Row],[Toimiala D]]="K"),"Kuuluu","Ei kuulu")</f>
        <v>Ei kuulu</v>
      </c>
      <c r="I28" s="3" t="str">
        <f>IF(OR(KysymyksetTaulukko[[#This Row],[Luokka]]="Ei kuulu",KysymyksetTaulukko[[#This Row],[Toimiala-
kysymys]]="Ei kuulu"), "Ei kuulu", "Kuuluu")</f>
        <v>Ei kuulu</v>
      </c>
      <c r="J28" s="3" t="str">
        <f>IF(KysymyksetTaulukko[[#This Row],[Luokka + toimiala]]="Kuuluu","a) Oman vesilaitoksen kysymykset","b) Muut kysymykset")</f>
        <v>b) Muut kysymykset</v>
      </c>
      <c r="K28" s="125" t="s">
        <v>7</v>
      </c>
      <c r="L28" s="9" t="s">
        <v>26</v>
      </c>
      <c r="M28" s="61" t="str">
        <f>LEFT(KysymyksetTaulukko[[#This Row],[Alakategoria_]],2)</f>
        <v>2.</v>
      </c>
      <c r="N28" s="109"/>
      <c r="O28" s="70" t="s">
        <v>222</v>
      </c>
      <c r="P28" s="67" t="str">
        <f>IF(AND(KysymyksetTaulukko[[#This Row],[Luokka]]="Extra",KysymyksetTaulukko[[#This Row],[Luokka + toimiala]]="Kuuluu"),"Extra","")</f>
        <v/>
      </c>
      <c r="Q28" s="114"/>
      <c r="R28" s="64" t="s">
        <v>277</v>
      </c>
      <c r="S28" s="159"/>
      <c r="T28" s="123">
        <f>IF(AND(KysymyksetTaulukko[[#This Row],[Luokka + toimiala]]="Kuuluu",KysymyksetTaulukko[[#This Row],[Vastaus]]="Kyllä"),1,0)</f>
        <v>0</v>
      </c>
      <c r="U28" s="121">
        <f>IF(AND(KysymyksetTaulukko[[#This Row],[Maksimipisteet]]=1,NOT(ISBLANK(KysymyksetTaulukko[[#This Row],[Vastaus]]))),1,0)</f>
        <v>0</v>
      </c>
      <c r="V28" s="123">
        <f>IF(OR(KysymyksetTaulukko[[#This Row],[Luokka + toimiala]]="Ei kuulu",KysymyksetTaulukko[[#This Row],[Vastaus]]="Ei koske",KysymyksetTaulukko[[#This Row],[Luokka]]="Extra",KysymyksetTaulukko[[#This Row],[Otsikkorivi]]="Kyllä"),0,1)</f>
        <v>0</v>
      </c>
    </row>
    <row r="29" spans="1:22" ht="29" x14ac:dyDescent="0.35">
      <c r="A29" s="3" t="s">
        <v>40</v>
      </c>
      <c r="B29" s="3" t="str">
        <f>IF(ISNUMBER(SEARCH("," &amp; LV!$B$10 &amp; ",", "," &amp; SUBSTITUTE(A29, " ", "")&amp; ",")),
  "Kuuluu",
  IF(AND(LV!$B$10&gt;=2,
      LV!$B$10&lt;=4,
      OR(ISNUMBER(SEARCH("," &amp;(LV!$B$10+1)&amp; ",", "," &amp; SUBSTITUTE(A29, " ", "")&amp; ",")),
        ISNUMBER(SEARCH("," &amp;(LV!$B$10+2)&amp; ",", "," &amp; SUBSTITUTE(A29, " ", "")&amp; ",")),
        ISNUMBER(SEARCH("," &amp;(LV!$B$10+3)&amp; ",", "," &amp; SUBSTITUTE(A29, " ", "")&amp; ",")),
        ISNUMBER(SEARCH("," &amp;(LV!$B$10+4)&amp; ",", "," &amp; SUBSTITUTE(A29, " ", "")&amp; ",")),
        ISNUMBER(SEARCH("," &amp;(LV!$B$10+5)&amp; ",", "," &amp; SUBSTITUTE(A29, " ", "")&amp; ",")))),
    "Extra",
    "Ei kuulu"))</f>
        <v>Ei kuulu</v>
      </c>
      <c r="C29" s="3" t="s">
        <v>10</v>
      </c>
      <c r="D29" s="3" t="str">
        <f>IF(ISNUMBER(SEARCH(LV!$I$5, Turvallinen_ja_toimintavarma!C29)), "K", "E")</f>
        <v>E</v>
      </c>
      <c r="E29" s="3" t="str">
        <f>IF(ISNUMBER(SEARCH(LV!$I$6, Turvallinen_ja_toimintavarma!$C29)), "K", "E")</f>
        <v>E</v>
      </c>
      <c r="F29" s="3" t="str">
        <f>IF(ISNUMBER(SEARCH(LV!$I$7, Turvallinen_ja_toimintavarma!$C29)), "K", "E")</f>
        <v>E</v>
      </c>
      <c r="G29" s="3" t="str">
        <f>IF(ISNUMBER(SEARCH(LV!$I$8, Turvallinen_ja_toimintavarma!$C29)), "K", "E")</f>
        <v>E</v>
      </c>
      <c r="H29" s="3" t="str">
        <f>IF(OR(KysymyksetTaulukko[[#This Row],[Toimiala A]]="K",KysymyksetTaulukko[[#This Row],[Toimiala B]]="K",KysymyksetTaulukko[[#This Row],[Toimiala C]]="K",KysymyksetTaulukko[[#This Row],[Toimiala D]]="K"),"Kuuluu","Ei kuulu")</f>
        <v>Ei kuulu</v>
      </c>
      <c r="I29" s="3" t="str">
        <f>IF(OR(KysymyksetTaulukko[[#This Row],[Luokka]]="Ei kuulu",KysymyksetTaulukko[[#This Row],[Toimiala-
kysymys]]="Ei kuulu"), "Ei kuulu", "Kuuluu")</f>
        <v>Ei kuulu</v>
      </c>
      <c r="J29" s="3" t="str">
        <f>IF(KysymyksetTaulukko[[#This Row],[Luokka + toimiala]]="Kuuluu","a) Oman vesilaitoksen kysymykset","b) Muut kysymykset")</f>
        <v>b) Muut kysymykset</v>
      </c>
      <c r="K29" s="125" t="s">
        <v>7</v>
      </c>
      <c r="L29" s="9" t="s">
        <v>26</v>
      </c>
      <c r="M29" s="61" t="str">
        <f>LEFT(KysymyksetTaulukko[[#This Row],[Alakategoria_]],2)</f>
        <v>2.</v>
      </c>
      <c r="N29" s="109" t="s">
        <v>11</v>
      </c>
      <c r="O29" s="70" t="s">
        <v>206</v>
      </c>
      <c r="P29" s="67" t="str">
        <f>IF(AND(KysymyksetTaulukko[[#This Row],[Luokka]]="Extra",KysymyksetTaulukko[[#This Row],[Luokka + toimiala]]="Kuuluu"),"Extra","")</f>
        <v/>
      </c>
      <c r="Q29" s="114"/>
      <c r="R29" s="64" t="s">
        <v>278</v>
      </c>
      <c r="S29" s="159"/>
      <c r="T29" s="123">
        <f>IF(AND(KysymyksetTaulukko[[#This Row],[Luokka + toimiala]]="Kuuluu",KysymyksetTaulukko[[#This Row],[Vastaus]]="Kyllä"),1,0)</f>
        <v>0</v>
      </c>
      <c r="U29" s="121">
        <f>IF(AND(KysymyksetTaulukko[[#This Row],[Maksimipisteet]]=1,NOT(ISBLANK(KysymyksetTaulukko[[#This Row],[Vastaus]]))),1,0)</f>
        <v>0</v>
      </c>
      <c r="V29" s="123">
        <f>IF(OR(KysymyksetTaulukko[[#This Row],[Luokka + toimiala]]="Ei kuulu",KysymyksetTaulukko[[#This Row],[Vastaus]]="Ei koske",KysymyksetTaulukko[[#This Row],[Luokka]]="Extra",KysymyksetTaulukko[[#This Row],[Otsikkorivi]]="Kyllä"),0,1)</f>
        <v>0</v>
      </c>
    </row>
    <row r="30" spans="1:22" ht="58" x14ac:dyDescent="0.35">
      <c r="A30" s="3" t="s">
        <v>12</v>
      </c>
      <c r="B30" s="3" t="str">
        <f>IF(ISNUMBER(SEARCH("," &amp; LV!$B$10 &amp; ",", "," &amp; SUBSTITUTE(A30, " ", "")&amp; ",")),
  "Kuuluu",
  IF(AND(LV!$B$10&gt;=2,
      LV!$B$10&lt;=4,
      OR(ISNUMBER(SEARCH("," &amp;(LV!$B$10+1)&amp; ",", "," &amp; SUBSTITUTE(A30, " ", "")&amp; ",")),
        ISNUMBER(SEARCH("," &amp;(LV!$B$10+2)&amp; ",", "," &amp; SUBSTITUTE(A30, " ", "")&amp; ",")),
        ISNUMBER(SEARCH("," &amp;(LV!$B$10+3)&amp; ",", "," &amp; SUBSTITUTE(A30, " ", "")&amp; ",")),
        ISNUMBER(SEARCH("," &amp;(LV!$B$10+4)&amp; ",", "," &amp; SUBSTITUTE(A30, " ", "")&amp; ",")),
        ISNUMBER(SEARCH("," &amp;(LV!$B$10+5)&amp; ",", "," &amp; SUBSTITUTE(A30, " ", "")&amp; ",")))),
    "Extra",
    "Ei kuulu"))</f>
        <v>Ei kuulu</v>
      </c>
      <c r="C30" s="3" t="s">
        <v>10</v>
      </c>
      <c r="D30" s="3" t="str">
        <f>IF(ISNUMBER(SEARCH(LV!$I$5, Turvallinen_ja_toimintavarma!C30)), "K", "E")</f>
        <v>E</v>
      </c>
      <c r="E30" s="3" t="str">
        <f>IF(ISNUMBER(SEARCH(LV!$I$6, Turvallinen_ja_toimintavarma!$C30)), "K", "E")</f>
        <v>E</v>
      </c>
      <c r="F30" s="3" t="str">
        <f>IF(ISNUMBER(SEARCH(LV!$I$7, Turvallinen_ja_toimintavarma!$C30)), "K", "E")</f>
        <v>E</v>
      </c>
      <c r="G30" s="3" t="str">
        <f>IF(ISNUMBER(SEARCH(LV!$I$8, Turvallinen_ja_toimintavarma!$C30)), "K", "E")</f>
        <v>E</v>
      </c>
      <c r="H30" s="3" t="str">
        <f>IF(OR(KysymyksetTaulukko[[#This Row],[Toimiala A]]="K",KysymyksetTaulukko[[#This Row],[Toimiala B]]="K",KysymyksetTaulukko[[#This Row],[Toimiala C]]="K",KysymyksetTaulukko[[#This Row],[Toimiala D]]="K"),"Kuuluu","Ei kuulu")</f>
        <v>Ei kuulu</v>
      </c>
      <c r="I30" s="3" t="str">
        <f>IF(OR(KysymyksetTaulukko[[#This Row],[Luokka]]="Ei kuulu",KysymyksetTaulukko[[#This Row],[Toimiala-
kysymys]]="Ei kuulu"), "Ei kuulu", "Kuuluu")</f>
        <v>Ei kuulu</v>
      </c>
      <c r="J30" s="3" t="str">
        <f>IF(KysymyksetTaulukko[[#This Row],[Luokka + toimiala]]="Kuuluu","a) Oman vesilaitoksen kysymykset","b) Muut kysymykset")</f>
        <v>b) Muut kysymykset</v>
      </c>
      <c r="K30" s="125" t="s">
        <v>7</v>
      </c>
      <c r="L30" s="9" t="s">
        <v>26</v>
      </c>
      <c r="M30" s="61" t="str">
        <f>LEFT(KysymyksetTaulukko[[#This Row],[Alakategoria_]],2)</f>
        <v>2.</v>
      </c>
      <c r="N30" s="110" t="s">
        <v>11</v>
      </c>
      <c r="O30" s="70" t="s">
        <v>206</v>
      </c>
      <c r="P30" s="67" t="str">
        <f>IF(AND(KysymyksetTaulukko[[#This Row],[Luokka]]="Extra",KysymyksetTaulukko[[#This Row],[Luokka + toimiala]]="Kuuluu"),"Extra","")</f>
        <v/>
      </c>
      <c r="Q30" s="114"/>
      <c r="R30" s="64" t="s">
        <v>42</v>
      </c>
      <c r="S30" s="159"/>
      <c r="T30" s="123">
        <f>IF(AND(KysymyksetTaulukko[[#This Row],[Luokka + toimiala]]="Kuuluu",KysymyksetTaulukko[[#This Row],[Vastaus]]="Kyllä"),1,0)</f>
        <v>0</v>
      </c>
      <c r="U30" s="121">
        <f>IF(AND(KysymyksetTaulukko[[#This Row],[Maksimipisteet]]=1,NOT(ISBLANK(KysymyksetTaulukko[[#This Row],[Vastaus]]))),1,0)</f>
        <v>0</v>
      </c>
      <c r="V30" s="123">
        <f>IF(OR(KysymyksetTaulukko[[#This Row],[Luokka + toimiala]]="Ei kuulu",KysymyksetTaulukko[[#This Row],[Vastaus]]="Ei koske",KysymyksetTaulukko[[#This Row],[Luokka]]="Extra",KysymyksetTaulukko[[#This Row],[Otsikkorivi]]="Kyllä"),0,1)</f>
        <v>0</v>
      </c>
    </row>
    <row r="31" spans="1:22" ht="43.5" x14ac:dyDescent="0.35">
      <c r="A31" s="3" t="s">
        <v>12</v>
      </c>
      <c r="B31" s="3" t="str">
        <f>IF(ISNUMBER(SEARCH("," &amp; LV!$B$10 &amp; ",", "," &amp; SUBSTITUTE(A31, " ", "")&amp; ",")),
  "Kuuluu",
  IF(AND(LV!$B$10&gt;=2,
      LV!$B$10&lt;=4,
      OR(ISNUMBER(SEARCH("," &amp;(LV!$B$10+1)&amp; ",", "," &amp; SUBSTITUTE(A31, " ", "")&amp; ",")),
        ISNUMBER(SEARCH("," &amp;(LV!$B$10+2)&amp; ",", "," &amp; SUBSTITUTE(A31, " ", "")&amp; ",")),
        ISNUMBER(SEARCH("," &amp;(LV!$B$10+3)&amp; ",", "," &amp; SUBSTITUTE(A31, " ", "")&amp; ",")),
        ISNUMBER(SEARCH("," &amp;(LV!$B$10+4)&amp; ",", "," &amp; SUBSTITUTE(A31, " ", "")&amp; ",")),
        ISNUMBER(SEARCH("," &amp;(LV!$B$10+5)&amp; ",", "," &amp; SUBSTITUTE(A31, " ", "")&amp; ",")))),
    "Extra",
    "Ei kuulu"))</f>
        <v>Ei kuulu</v>
      </c>
      <c r="C31" s="3" t="s">
        <v>44</v>
      </c>
      <c r="D31" s="3" t="str">
        <f>IF(ISNUMBER(SEARCH(LV!$I$5, Turvallinen_ja_toimintavarma!C31)), "K", "E")</f>
        <v>E</v>
      </c>
      <c r="E31" s="3" t="str">
        <f>IF(ISNUMBER(SEARCH(LV!$I$6, Turvallinen_ja_toimintavarma!$C31)), "K", "E")</f>
        <v>E</v>
      </c>
      <c r="F31" s="3" t="str">
        <f>IF(ISNUMBER(SEARCH(LV!$I$7, Turvallinen_ja_toimintavarma!$C31)), "K", "E")</f>
        <v>E</v>
      </c>
      <c r="G31" s="3" t="str">
        <f>IF(ISNUMBER(SEARCH(LV!$I$8, Turvallinen_ja_toimintavarma!$C31)), "K", "E")</f>
        <v>E</v>
      </c>
      <c r="H31" s="3" t="str">
        <f>IF(OR(KysymyksetTaulukko[[#This Row],[Toimiala A]]="K",KysymyksetTaulukko[[#This Row],[Toimiala B]]="K",KysymyksetTaulukko[[#This Row],[Toimiala C]]="K",KysymyksetTaulukko[[#This Row],[Toimiala D]]="K"),"Kuuluu","Ei kuulu")</f>
        <v>Ei kuulu</v>
      </c>
      <c r="I31" s="3" t="str">
        <f>IF(OR(KysymyksetTaulukko[[#This Row],[Luokka]]="Ei kuulu",KysymyksetTaulukko[[#This Row],[Toimiala-
kysymys]]="Ei kuulu"), "Ei kuulu", "Kuuluu")</f>
        <v>Ei kuulu</v>
      </c>
      <c r="J31" s="3" t="str">
        <f>IF(KysymyksetTaulukko[[#This Row],[Luokka + toimiala]]="Kuuluu","a) Oman vesilaitoksen kysymykset","b) Muut kysymykset")</f>
        <v>b) Muut kysymykset</v>
      </c>
      <c r="K31" s="125" t="s">
        <v>7</v>
      </c>
      <c r="L31" s="9" t="s">
        <v>26</v>
      </c>
      <c r="M31" s="61" t="str">
        <f>LEFT(KysymyksetTaulukko[[#This Row],[Alakategoria_]],2)</f>
        <v>2.</v>
      </c>
      <c r="N31" s="109" t="s">
        <v>11</v>
      </c>
      <c r="O31" s="70" t="s">
        <v>206</v>
      </c>
      <c r="P31" s="67" t="str">
        <f>IF(AND(KysymyksetTaulukko[[#This Row],[Luokka]]="Extra",KysymyksetTaulukko[[#This Row],[Luokka + toimiala]]="Kuuluu"),"Extra","")</f>
        <v/>
      </c>
      <c r="Q31" s="114"/>
      <c r="R31" s="64" t="s">
        <v>43</v>
      </c>
      <c r="S31" s="159"/>
      <c r="T31" s="123">
        <f>IF(AND(KysymyksetTaulukko[[#This Row],[Luokka + toimiala]]="Kuuluu",KysymyksetTaulukko[[#This Row],[Vastaus]]="Kyllä"),1,0)</f>
        <v>0</v>
      </c>
      <c r="U31" s="121">
        <f>IF(AND(KysymyksetTaulukko[[#This Row],[Maksimipisteet]]=1,NOT(ISBLANK(KysymyksetTaulukko[[#This Row],[Vastaus]]))),1,0)</f>
        <v>0</v>
      </c>
      <c r="V31" s="123">
        <f>IF(OR(KysymyksetTaulukko[[#This Row],[Luokka + toimiala]]="Ei kuulu",KysymyksetTaulukko[[#This Row],[Vastaus]]="Ei koske",KysymyksetTaulukko[[#This Row],[Luokka]]="Extra",KysymyksetTaulukko[[#This Row],[Otsikkorivi]]="Kyllä"),0,1)</f>
        <v>0</v>
      </c>
    </row>
    <row r="32" spans="1:22" ht="28.5" x14ac:dyDescent="0.35">
      <c r="A32" s="3" t="s">
        <v>12</v>
      </c>
      <c r="B32" s="3" t="str">
        <f>IF(ISNUMBER(SEARCH("," &amp; LV!$B$10 &amp; ",", "," &amp; SUBSTITUTE(A32, " ", "")&amp; ",")),
  "Kuuluu",
  IF(AND(LV!$B$10&gt;=2,
      LV!$B$10&lt;=4,
      OR(ISNUMBER(SEARCH("," &amp;(LV!$B$10+1)&amp; ",", "," &amp; SUBSTITUTE(A32, " ", "")&amp; ",")),
        ISNUMBER(SEARCH("," &amp;(LV!$B$10+2)&amp; ",", "," &amp; SUBSTITUTE(A32, " ", "")&amp; ",")),
        ISNUMBER(SEARCH("," &amp;(LV!$B$10+3)&amp; ",", "," &amp; SUBSTITUTE(A32, " ", "")&amp; ",")),
        ISNUMBER(SEARCH("," &amp;(LV!$B$10+4)&amp; ",", "," &amp; SUBSTITUTE(A32, " ", "")&amp; ",")),
        ISNUMBER(SEARCH("," &amp;(LV!$B$10+5)&amp; ",", "," &amp; SUBSTITUTE(A32, " ", "")&amp; ",")))),
    "Extra",
    "Ei kuulu"))</f>
        <v>Ei kuulu</v>
      </c>
      <c r="C32" s="3" t="s">
        <v>28</v>
      </c>
      <c r="D32" s="3" t="str">
        <f>IF(ISNUMBER(SEARCH(LV!$I$5, Turvallinen_ja_toimintavarma!C32)), "K", "E")</f>
        <v>E</v>
      </c>
      <c r="E32" s="3" t="str">
        <f>IF(ISNUMBER(SEARCH(LV!$I$6, Turvallinen_ja_toimintavarma!$C32)), "K", "E")</f>
        <v>E</v>
      </c>
      <c r="F32" s="3" t="str">
        <f>IF(ISNUMBER(SEARCH(LV!$I$7, Turvallinen_ja_toimintavarma!$C32)), "K", "E")</f>
        <v>E</v>
      </c>
      <c r="G32" s="3" t="str">
        <f>IF(ISNUMBER(SEARCH(LV!$I$8, Turvallinen_ja_toimintavarma!$C32)), "K", "E")</f>
        <v>E</v>
      </c>
      <c r="H32" s="3" t="str">
        <f>IF(OR(KysymyksetTaulukko[[#This Row],[Toimiala A]]="K",KysymyksetTaulukko[[#This Row],[Toimiala B]]="K",KysymyksetTaulukko[[#This Row],[Toimiala C]]="K",KysymyksetTaulukko[[#This Row],[Toimiala D]]="K"),"Kuuluu","Ei kuulu")</f>
        <v>Ei kuulu</v>
      </c>
      <c r="I32" s="3" t="str">
        <f>IF(OR(KysymyksetTaulukko[[#This Row],[Luokka]]="Ei kuulu",KysymyksetTaulukko[[#This Row],[Toimiala-
kysymys]]="Ei kuulu"), "Ei kuulu", "Kuuluu")</f>
        <v>Ei kuulu</v>
      </c>
      <c r="J32" s="3" t="str">
        <f>IF(KysymyksetTaulukko[[#This Row],[Luokka + toimiala]]="Kuuluu","a) Oman vesilaitoksen kysymykset","b) Muut kysymykset")</f>
        <v>b) Muut kysymykset</v>
      </c>
      <c r="K32" s="125" t="s">
        <v>7</v>
      </c>
      <c r="L32" s="9" t="s">
        <v>26</v>
      </c>
      <c r="M32" s="61" t="str">
        <f>LEFT(KysymyksetTaulukko[[#This Row],[Alakategoria_]],2)</f>
        <v>2.</v>
      </c>
      <c r="N32" s="109" t="s">
        <v>11</v>
      </c>
      <c r="O32" s="70" t="s">
        <v>206</v>
      </c>
      <c r="P32" s="67" t="str">
        <f>IF(AND(KysymyksetTaulukko[[#This Row],[Luokka]]="Extra",KysymyksetTaulukko[[#This Row],[Luokka + toimiala]]="Kuuluu"),"Extra","")</f>
        <v/>
      </c>
      <c r="Q32" s="114"/>
      <c r="R32" s="64" t="s">
        <v>45</v>
      </c>
      <c r="S32" s="159"/>
      <c r="T32" s="123">
        <f>IF(AND(KysymyksetTaulukko[[#This Row],[Luokka + toimiala]]="Kuuluu",KysymyksetTaulukko[[#This Row],[Vastaus]]="Kyllä"),1,0)</f>
        <v>0</v>
      </c>
      <c r="U32" s="121">
        <f>IF(AND(KysymyksetTaulukko[[#This Row],[Maksimipisteet]]=1,NOT(ISBLANK(KysymyksetTaulukko[[#This Row],[Vastaus]]))),1,0)</f>
        <v>0</v>
      </c>
      <c r="V32" s="123">
        <f>IF(OR(KysymyksetTaulukko[[#This Row],[Luokka + toimiala]]="Ei kuulu",KysymyksetTaulukko[[#This Row],[Vastaus]]="Ei koske",KysymyksetTaulukko[[#This Row],[Luokka]]="Extra",KysymyksetTaulukko[[#This Row],[Otsikkorivi]]="Kyllä"),0,1)</f>
        <v>0</v>
      </c>
    </row>
    <row r="33" spans="1:22" ht="29" x14ac:dyDescent="0.35">
      <c r="A33" s="3" t="s">
        <v>6</v>
      </c>
      <c r="B33" s="3" t="str">
        <f>IF(ISNUMBER(SEARCH("," &amp; LV!$B$10 &amp; ",", "," &amp; SUBSTITUTE(A33, " ", "")&amp; ",")),
  "Kuuluu",
  IF(AND(LV!$B$10&gt;=2,
      LV!$B$10&lt;=4,
      OR(ISNUMBER(SEARCH("," &amp;(LV!$B$10+1)&amp; ",", "," &amp; SUBSTITUTE(A33, " ", "")&amp; ",")),
        ISNUMBER(SEARCH("," &amp;(LV!$B$10+2)&amp; ",", "," &amp; SUBSTITUTE(A33, " ", "")&amp; ",")),
        ISNUMBER(SEARCH("," &amp;(LV!$B$10+3)&amp; ",", "," &amp; SUBSTITUTE(A33, " ", "")&amp; ",")),
        ISNUMBER(SEARCH("," &amp;(LV!$B$10+4)&amp; ",", "," &amp; SUBSTITUTE(A33, " ", "")&amp; ",")),
        ISNUMBER(SEARCH("," &amp;(LV!$B$10+5)&amp; ",", "," &amp; SUBSTITUTE(A33, " ", "")&amp; ",")))),
    "Extra",
    "Ei kuulu"))</f>
        <v>Ei kuulu</v>
      </c>
      <c r="C33" s="3" t="s">
        <v>28</v>
      </c>
      <c r="D33" s="3" t="str">
        <f>IF(ISNUMBER(SEARCH(LV!$I$5, Turvallinen_ja_toimintavarma!C33)), "K", "E")</f>
        <v>E</v>
      </c>
      <c r="E33" s="3" t="str">
        <f>IF(ISNUMBER(SEARCH(LV!$I$6, Turvallinen_ja_toimintavarma!$C33)), "K", "E")</f>
        <v>E</v>
      </c>
      <c r="F33" s="3" t="str">
        <f>IF(ISNUMBER(SEARCH(LV!$I$7, Turvallinen_ja_toimintavarma!$C33)), "K", "E")</f>
        <v>E</v>
      </c>
      <c r="G33" s="3" t="str">
        <f>IF(ISNUMBER(SEARCH(LV!$I$8, Turvallinen_ja_toimintavarma!$C33)), "K", "E")</f>
        <v>E</v>
      </c>
      <c r="H33" s="3" t="str">
        <f>IF(OR(KysymyksetTaulukko[[#This Row],[Toimiala A]]="K",KysymyksetTaulukko[[#This Row],[Toimiala B]]="K",KysymyksetTaulukko[[#This Row],[Toimiala C]]="K",KysymyksetTaulukko[[#This Row],[Toimiala D]]="K"),"Kuuluu","Ei kuulu")</f>
        <v>Ei kuulu</v>
      </c>
      <c r="I33" s="3" t="str">
        <f>IF(OR(KysymyksetTaulukko[[#This Row],[Luokka]]="Ei kuulu",KysymyksetTaulukko[[#This Row],[Toimiala-
kysymys]]="Ei kuulu"), "Ei kuulu", "Kuuluu")</f>
        <v>Ei kuulu</v>
      </c>
      <c r="J33" s="3" t="str">
        <f>IF(KysymyksetTaulukko[[#This Row],[Luokka + toimiala]]="Kuuluu","a) Oman vesilaitoksen kysymykset","b) Muut kysymykset")</f>
        <v>b) Muut kysymykset</v>
      </c>
      <c r="K33" s="125" t="s">
        <v>7</v>
      </c>
      <c r="L33" s="9" t="s">
        <v>26</v>
      </c>
      <c r="M33" s="61" t="str">
        <f>LEFT(KysymyksetTaulukko[[#This Row],[Alakategoria_]],2)</f>
        <v>2.</v>
      </c>
      <c r="N33" s="109" t="s">
        <v>11</v>
      </c>
      <c r="O33" s="70" t="s">
        <v>206</v>
      </c>
      <c r="P33" s="67" t="str">
        <f>IF(AND(KysymyksetTaulukko[[#This Row],[Luokka]]="Extra",KysymyksetTaulukko[[#This Row],[Luokka + toimiala]]="Kuuluu"),"Extra","")</f>
        <v/>
      </c>
      <c r="Q33" s="114"/>
      <c r="R33" s="64" t="s">
        <v>46</v>
      </c>
      <c r="S33" s="159"/>
      <c r="T33" s="123">
        <f>IF(AND(KysymyksetTaulukko[[#This Row],[Luokka + toimiala]]="Kuuluu",KysymyksetTaulukko[[#This Row],[Vastaus]]="Kyllä"),1,0)</f>
        <v>0</v>
      </c>
      <c r="U33" s="121">
        <f>IF(AND(KysymyksetTaulukko[[#This Row],[Maksimipisteet]]=1,NOT(ISBLANK(KysymyksetTaulukko[[#This Row],[Vastaus]]))),1,0)</f>
        <v>0</v>
      </c>
      <c r="V33" s="123">
        <f>IF(OR(KysymyksetTaulukko[[#This Row],[Luokka + toimiala]]="Ei kuulu",KysymyksetTaulukko[[#This Row],[Vastaus]]="Ei koske",KysymyksetTaulukko[[#This Row],[Luokka]]="Extra",KysymyksetTaulukko[[#This Row],[Otsikkorivi]]="Kyllä"),0,1)</f>
        <v>0</v>
      </c>
    </row>
    <row r="34" spans="1:22" ht="29" x14ac:dyDescent="0.35">
      <c r="A34" s="3" t="s">
        <v>6</v>
      </c>
      <c r="B34" s="3" t="str">
        <f>IF(ISNUMBER(SEARCH("," &amp; LV!$B$10 &amp; ",", "," &amp; SUBSTITUTE(A34, " ", "")&amp; ",")),
  "Kuuluu",
  IF(AND(LV!$B$10&gt;=2,
      LV!$B$10&lt;=4,
      OR(ISNUMBER(SEARCH("," &amp;(LV!$B$10+1)&amp; ",", "," &amp; SUBSTITUTE(A34, " ", "")&amp; ",")),
        ISNUMBER(SEARCH("," &amp;(LV!$B$10+2)&amp; ",", "," &amp; SUBSTITUTE(A34, " ", "")&amp; ",")),
        ISNUMBER(SEARCH("," &amp;(LV!$B$10+3)&amp; ",", "," &amp; SUBSTITUTE(A34, " ", "")&amp; ",")),
        ISNUMBER(SEARCH("," &amp;(LV!$B$10+4)&amp; ",", "," &amp; SUBSTITUTE(A34, " ", "")&amp; ",")),
        ISNUMBER(SEARCH("," &amp;(LV!$B$10+5)&amp; ",", "," &amp; SUBSTITUTE(A34, " ", "")&amp; ",")))),
    "Extra",
    "Ei kuulu"))</f>
        <v>Ei kuulu</v>
      </c>
      <c r="C34" s="3" t="s">
        <v>28</v>
      </c>
      <c r="D34" s="3" t="str">
        <f>IF(ISNUMBER(SEARCH(LV!$I$5, Turvallinen_ja_toimintavarma!C34)), "K", "E")</f>
        <v>E</v>
      </c>
      <c r="E34" s="3" t="str">
        <f>IF(ISNUMBER(SEARCH(LV!$I$6, Turvallinen_ja_toimintavarma!$C34)), "K", "E")</f>
        <v>E</v>
      </c>
      <c r="F34" s="3" t="str">
        <f>IF(ISNUMBER(SEARCH(LV!$I$7, Turvallinen_ja_toimintavarma!$C34)), "K", "E")</f>
        <v>E</v>
      </c>
      <c r="G34" s="3" t="str">
        <f>IF(ISNUMBER(SEARCH(LV!$I$8, Turvallinen_ja_toimintavarma!$C34)), "K", "E")</f>
        <v>E</v>
      </c>
      <c r="H34" s="3" t="str">
        <f>IF(OR(KysymyksetTaulukko[[#This Row],[Toimiala A]]="K",KysymyksetTaulukko[[#This Row],[Toimiala B]]="K",KysymyksetTaulukko[[#This Row],[Toimiala C]]="K",KysymyksetTaulukko[[#This Row],[Toimiala D]]="K"),"Kuuluu","Ei kuulu")</f>
        <v>Ei kuulu</v>
      </c>
      <c r="I34" s="3" t="str">
        <f>IF(OR(KysymyksetTaulukko[[#This Row],[Luokka]]="Ei kuulu",KysymyksetTaulukko[[#This Row],[Toimiala-
kysymys]]="Ei kuulu"), "Ei kuulu", "Kuuluu")</f>
        <v>Ei kuulu</v>
      </c>
      <c r="J34" s="3" t="str">
        <f>IF(KysymyksetTaulukko[[#This Row],[Luokka + toimiala]]="Kuuluu","a) Oman vesilaitoksen kysymykset","b) Muut kysymykset")</f>
        <v>b) Muut kysymykset</v>
      </c>
      <c r="K34" s="125" t="s">
        <v>7</v>
      </c>
      <c r="L34" s="9" t="s">
        <v>26</v>
      </c>
      <c r="M34" s="61" t="str">
        <f>LEFT(KysymyksetTaulukko[[#This Row],[Alakategoria_]],2)</f>
        <v>2.</v>
      </c>
      <c r="N34" s="109" t="s">
        <v>11</v>
      </c>
      <c r="O34" s="70" t="s">
        <v>206</v>
      </c>
      <c r="P34" s="67" t="str">
        <f>IF(AND(KysymyksetTaulukko[[#This Row],[Luokka]]="Extra",KysymyksetTaulukko[[#This Row],[Luokka + toimiala]]="Kuuluu"),"Extra","")</f>
        <v/>
      </c>
      <c r="Q34" s="114"/>
      <c r="R34" s="64" t="s">
        <v>47</v>
      </c>
      <c r="S34" s="159"/>
      <c r="T34" s="123">
        <f>IF(AND(KysymyksetTaulukko[[#This Row],[Luokka + toimiala]]="Kuuluu",KysymyksetTaulukko[[#This Row],[Vastaus]]="Kyllä"),1,0)</f>
        <v>0</v>
      </c>
      <c r="U34" s="121">
        <f>IF(AND(KysymyksetTaulukko[[#This Row],[Maksimipisteet]]=1,NOT(ISBLANK(KysymyksetTaulukko[[#This Row],[Vastaus]]))),1,0)</f>
        <v>0</v>
      </c>
      <c r="V34" s="123">
        <f>IF(OR(KysymyksetTaulukko[[#This Row],[Luokka + toimiala]]="Ei kuulu",KysymyksetTaulukko[[#This Row],[Vastaus]]="Ei koske",KysymyksetTaulukko[[#This Row],[Luokka]]="Extra",KysymyksetTaulukko[[#This Row],[Otsikkorivi]]="Kyllä"),0,1)</f>
        <v>0</v>
      </c>
    </row>
    <row r="35" spans="1:22" ht="29" x14ac:dyDescent="0.35">
      <c r="A35" s="3" t="s">
        <v>6</v>
      </c>
      <c r="B35" s="3" t="str">
        <f>IF(ISNUMBER(SEARCH("," &amp; LV!$B$10 &amp; ",", "," &amp; SUBSTITUTE(A35, " ", "")&amp; ",")),
  "Kuuluu",
  IF(AND(LV!$B$10&gt;=2,
      LV!$B$10&lt;=4,
      OR(ISNUMBER(SEARCH("," &amp;(LV!$B$10+1)&amp; ",", "," &amp; SUBSTITUTE(A35, " ", "")&amp; ",")),
        ISNUMBER(SEARCH("," &amp;(LV!$B$10+2)&amp; ",", "," &amp; SUBSTITUTE(A35, " ", "")&amp; ",")),
        ISNUMBER(SEARCH("," &amp;(LV!$B$10+3)&amp; ",", "," &amp; SUBSTITUTE(A35, " ", "")&amp; ",")),
        ISNUMBER(SEARCH("," &amp;(LV!$B$10+4)&amp; ",", "," &amp; SUBSTITUTE(A35, " ", "")&amp; ",")),
        ISNUMBER(SEARCH("," &amp;(LV!$B$10+5)&amp; ",", "," &amp; SUBSTITUTE(A35, " ", "")&amp; ",")))),
    "Extra",
    "Ei kuulu"))</f>
        <v>Ei kuulu</v>
      </c>
      <c r="C35" s="3" t="s">
        <v>44</v>
      </c>
      <c r="D35" s="3" t="str">
        <f>IF(ISNUMBER(SEARCH(LV!$I$5, Turvallinen_ja_toimintavarma!C35)), "K", "E")</f>
        <v>E</v>
      </c>
      <c r="E35" s="3" t="str">
        <f>IF(ISNUMBER(SEARCH(LV!$I$6, Turvallinen_ja_toimintavarma!$C35)), "K", "E")</f>
        <v>E</v>
      </c>
      <c r="F35" s="3" t="str">
        <f>IF(ISNUMBER(SEARCH(LV!$I$7, Turvallinen_ja_toimintavarma!$C35)), "K", "E")</f>
        <v>E</v>
      </c>
      <c r="G35" s="3" t="str">
        <f>IF(ISNUMBER(SEARCH(LV!$I$8, Turvallinen_ja_toimintavarma!$C35)), "K", "E")</f>
        <v>E</v>
      </c>
      <c r="H35" s="3" t="str">
        <f>IF(OR(KysymyksetTaulukko[[#This Row],[Toimiala A]]="K",KysymyksetTaulukko[[#This Row],[Toimiala B]]="K",KysymyksetTaulukko[[#This Row],[Toimiala C]]="K",KysymyksetTaulukko[[#This Row],[Toimiala D]]="K"),"Kuuluu","Ei kuulu")</f>
        <v>Ei kuulu</v>
      </c>
      <c r="I35" s="3" t="str">
        <f>IF(OR(KysymyksetTaulukko[[#This Row],[Luokka]]="Ei kuulu",KysymyksetTaulukko[[#This Row],[Toimiala-
kysymys]]="Ei kuulu"), "Ei kuulu", "Kuuluu")</f>
        <v>Ei kuulu</v>
      </c>
      <c r="J35" s="3" t="str">
        <f>IF(KysymyksetTaulukko[[#This Row],[Luokka + toimiala]]="Kuuluu","a) Oman vesilaitoksen kysymykset","b) Muut kysymykset")</f>
        <v>b) Muut kysymykset</v>
      </c>
      <c r="K35" s="125" t="s">
        <v>7</v>
      </c>
      <c r="L35" s="9" t="s">
        <v>26</v>
      </c>
      <c r="M35" s="61" t="str">
        <f>LEFT(KysymyksetTaulukko[[#This Row],[Alakategoria_]],2)</f>
        <v>2.</v>
      </c>
      <c r="N35" s="109" t="s">
        <v>11</v>
      </c>
      <c r="O35" s="70" t="s">
        <v>206</v>
      </c>
      <c r="P35" s="67" t="str">
        <f>IF(AND(KysymyksetTaulukko[[#This Row],[Luokka]]="Extra",KysymyksetTaulukko[[#This Row],[Luokka + toimiala]]="Kuuluu"),"Extra","")</f>
        <v/>
      </c>
      <c r="Q35" s="114"/>
      <c r="R35" s="64" t="s">
        <v>48</v>
      </c>
      <c r="S35" s="159"/>
      <c r="T35" s="123">
        <f>IF(AND(KysymyksetTaulukko[[#This Row],[Luokka + toimiala]]="Kuuluu",KysymyksetTaulukko[[#This Row],[Vastaus]]="Kyllä"),1,0)</f>
        <v>0</v>
      </c>
      <c r="U35" s="121">
        <f>IF(AND(KysymyksetTaulukko[[#This Row],[Maksimipisteet]]=1,NOT(ISBLANK(KysymyksetTaulukko[[#This Row],[Vastaus]]))),1,0)</f>
        <v>0</v>
      </c>
      <c r="V35" s="123">
        <f>IF(OR(KysymyksetTaulukko[[#This Row],[Luokka + toimiala]]="Ei kuulu",KysymyksetTaulukko[[#This Row],[Vastaus]]="Ei koske",KysymyksetTaulukko[[#This Row],[Luokka]]="Extra",KysymyksetTaulukko[[#This Row],[Otsikkorivi]]="Kyllä"),0,1)</f>
        <v>0</v>
      </c>
    </row>
    <row r="36" spans="1:22" ht="29" x14ac:dyDescent="0.35">
      <c r="A36" s="3" t="s">
        <v>12</v>
      </c>
      <c r="B36" s="3" t="str">
        <f>IF(ISNUMBER(SEARCH("," &amp; LV!$B$10 &amp; ",", "," &amp; SUBSTITUTE(A36, " ", "")&amp; ",")),
  "Kuuluu",
  IF(AND(LV!$B$10&gt;=2,
      LV!$B$10&lt;=4,
      OR(ISNUMBER(SEARCH("," &amp;(LV!$B$10+1)&amp; ",", "," &amp; SUBSTITUTE(A36, " ", "")&amp; ",")),
        ISNUMBER(SEARCH("," &amp;(LV!$B$10+2)&amp; ",", "," &amp; SUBSTITUTE(A36, " ", "")&amp; ",")),
        ISNUMBER(SEARCH("," &amp;(LV!$B$10+3)&amp; ",", "," &amp; SUBSTITUTE(A36, " ", "")&amp; ",")),
        ISNUMBER(SEARCH("," &amp;(LV!$B$10+4)&amp; ",", "," &amp; SUBSTITUTE(A36, " ", "")&amp; ",")),
        ISNUMBER(SEARCH("," &amp;(LV!$B$10+5)&amp; ",", "," &amp; SUBSTITUTE(A36, " ", "")&amp; ",")))),
    "Extra",
    "Ei kuulu"))</f>
        <v>Ei kuulu</v>
      </c>
      <c r="C36" s="3" t="s">
        <v>28</v>
      </c>
      <c r="D36" s="3" t="str">
        <f>IF(ISNUMBER(SEARCH(LV!$I$5, Turvallinen_ja_toimintavarma!C36)), "K", "E")</f>
        <v>E</v>
      </c>
      <c r="E36" s="3" t="str">
        <f>IF(ISNUMBER(SEARCH(LV!$I$6, Turvallinen_ja_toimintavarma!$C36)), "K", "E")</f>
        <v>E</v>
      </c>
      <c r="F36" s="3" t="str">
        <f>IF(ISNUMBER(SEARCH(LV!$I$7, Turvallinen_ja_toimintavarma!$C36)), "K", "E")</f>
        <v>E</v>
      </c>
      <c r="G36" s="3" t="str">
        <f>IF(ISNUMBER(SEARCH(LV!$I$8, Turvallinen_ja_toimintavarma!$C36)), "K", "E")</f>
        <v>E</v>
      </c>
      <c r="H36" s="3" t="str">
        <f>IF(OR(KysymyksetTaulukko[[#This Row],[Toimiala A]]="K",KysymyksetTaulukko[[#This Row],[Toimiala B]]="K",KysymyksetTaulukko[[#This Row],[Toimiala C]]="K",KysymyksetTaulukko[[#This Row],[Toimiala D]]="K"),"Kuuluu","Ei kuulu")</f>
        <v>Ei kuulu</v>
      </c>
      <c r="I36" s="3" t="str">
        <f>IF(OR(KysymyksetTaulukko[[#This Row],[Luokka]]="Ei kuulu",KysymyksetTaulukko[[#This Row],[Toimiala-
kysymys]]="Ei kuulu"), "Ei kuulu", "Kuuluu")</f>
        <v>Ei kuulu</v>
      </c>
      <c r="J36" s="3" t="str">
        <f>IF(KysymyksetTaulukko[[#This Row],[Luokka + toimiala]]="Kuuluu","a) Oman vesilaitoksen kysymykset","b) Muut kysymykset")</f>
        <v>b) Muut kysymykset</v>
      </c>
      <c r="K36" s="125" t="s">
        <v>7</v>
      </c>
      <c r="L36" s="9" t="s">
        <v>26</v>
      </c>
      <c r="M36" s="61" t="str">
        <f>LEFT(KysymyksetTaulukko[[#This Row],[Alakategoria_]],2)</f>
        <v>2.</v>
      </c>
      <c r="N36" s="109" t="s">
        <v>11</v>
      </c>
      <c r="O36" s="70" t="s">
        <v>206</v>
      </c>
      <c r="P36" s="67" t="str">
        <f>IF(AND(KysymyksetTaulukko[[#This Row],[Luokka]]="Extra",KysymyksetTaulukko[[#This Row],[Luokka + toimiala]]="Kuuluu"),"Extra","")</f>
        <v/>
      </c>
      <c r="Q36" s="114"/>
      <c r="R36" s="64" t="s">
        <v>49</v>
      </c>
      <c r="S36" s="159"/>
      <c r="T36" s="123">
        <f>IF(AND(KysymyksetTaulukko[[#This Row],[Luokka + toimiala]]="Kuuluu",KysymyksetTaulukko[[#This Row],[Vastaus]]="Kyllä"),1,0)</f>
        <v>0</v>
      </c>
      <c r="U36" s="121">
        <f>IF(AND(KysymyksetTaulukko[[#This Row],[Maksimipisteet]]=1,NOT(ISBLANK(KysymyksetTaulukko[[#This Row],[Vastaus]]))),1,0)</f>
        <v>0</v>
      </c>
      <c r="V36" s="123">
        <f>IF(OR(KysymyksetTaulukko[[#This Row],[Luokka + toimiala]]="Ei kuulu",KysymyksetTaulukko[[#This Row],[Vastaus]]="Ei koske",KysymyksetTaulukko[[#This Row],[Luokka]]="Extra",KysymyksetTaulukko[[#This Row],[Otsikkorivi]]="Kyllä"),0,1)</f>
        <v>0</v>
      </c>
    </row>
    <row r="37" spans="1:22" ht="43.5" x14ac:dyDescent="0.35">
      <c r="A37" s="3" t="s">
        <v>12</v>
      </c>
      <c r="B37" s="3" t="str">
        <f>IF(ISNUMBER(SEARCH("," &amp; LV!$B$10 &amp; ",", "," &amp; SUBSTITUTE(A37, " ", "")&amp; ",")),
  "Kuuluu",
  IF(AND(LV!$B$10&gt;=2,
      LV!$B$10&lt;=4,
      OR(ISNUMBER(SEARCH("," &amp;(LV!$B$10+1)&amp; ",", "," &amp; SUBSTITUTE(A37, " ", "")&amp; ",")),
        ISNUMBER(SEARCH("," &amp;(LV!$B$10+2)&amp; ",", "," &amp; SUBSTITUTE(A37, " ", "")&amp; ",")),
        ISNUMBER(SEARCH("," &amp;(LV!$B$10+3)&amp; ",", "," &amp; SUBSTITUTE(A37, " ", "")&amp; ",")),
        ISNUMBER(SEARCH("," &amp;(LV!$B$10+4)&amp; ",", "," &amp; SUBSTITUTE(A37, " ", "")&amp; ",")),
        ISNUMBER(SEARCH("," &amp;(LV!$B$10+5)&amp; ",", "," &amp; SUBSTITUTE(A37, " ", "")&amp; ",")))),
    "Extra",
    "Ei kuulu"))</f>
        <v>Ei kuulu</v>
      </c>
      <c r="C37" s="3" t="s">
        <v>28</v>
      </c>
      <c r="D37" s="3" t="str">
        <f>IF(ISNUMBER(SEARCH(LV!$I$5, Turvallinen_ja_toimintavarma!C37)), "K", "E")</f>
        <v>E</v>
      </c>
      <c r="E37" s="3" t="str">
        <f>IF(ISNUMBER(SEARCH(LV!$I$6, Turvallinen_ja_toimintavarma!$C37)), "K", "E")</f>
        <v>E</v>
      </c>
      <c r="F37" s="3" t="str">
        <f>IF(ISNUMBER(SEARCH(LV!$I$7, Turvallinen_ja_toimintavarma!$C37)), "K", "E")</f>
        <v>E</v>
      </c>
      <c r="G37" s="3" t="str">
        <f>IF(ISNUMBER(SEARCH(LV!$I$8, Turvallinen_ja_toimintavarma!$C37)), "K", "E")</f>
        <v>E</v>
      </c>
      <c r="H37" s="3" t="str">
        <f>IF(OR(KysymyksetTaulukko[[#This Row],[Toimiala A]]="K",KysymyksetTaulukko[[#This Row],[Toimiala B]]="K",KysymyksetTaulukko[[#This Row],[Toimiala C]]="K",KysymyksetTaulukko[[#This Row],[Toimiala D]]="K"),"Kuuluu","Ei kuulu")</f>
        <v>Ei kuulu</v>
      </c>
      <c r="I37" s="3" t="str">
        <f>IF(OR(KysymyksetTaulukko[[#This Row],[Luokka]]="Ei kuulu",KysymyksetTaulukko[[#This Row],[Toimiala-
kysymys]]="Ei kuulu"), "Ei kuulu", "Kuuluu")</f>
        <v>Ei kuulu</v>
      </c>
      <c r="J37" s="3" t="str">
        <f>IF(KysymyksetTaulukko[[#This Row],[Luokka + toimiala]]="Kuuluu","a) Oman vesilaitoksen kysymykset","b) Muut kysymykset")</f>
        <v>b) Muut kysymykset</v>
      </c>
      <c r="K37" s="125" t="s">
        <v>7</v>
      </c>
      <c r="L37" s="9" t="s">
        <v>26</v>
      </c>
      <c r="M37" s="61" t="str">
        <f>LEFT(KysymyksetTaulukko[[#This Row],[Alakategoria_]],2)</f>
        <v>2.</v>
      </c>
      <c r="N37" s="109" t="s">
        <v>11</v>
      </c>
      <c r="O37" s="70" t="s">
        <v>206</v>
      </c>
      <c r="P37" s="67" t="str">
        <f>IF(AND(KysymyksetTaulukko[[#This Row],[Luokka]]="Extra",KysymyksetTaulukko[[#This Row],[Luokka + toimiala]]="Kuuluu"),"Extra","")</f>
        <v/>
      </c>
      <c r="Q37" s="114"/>
      <c r="R37" s="64" t="s">
        <v>50</v>
      </c>
      <c r="S37" s="159"/>
      <c r="T37" s="123">
        <f>IF(AND(KysymyksetTaulukko[[#This Row],[Luokka + toimiala]]="Kuuluu",KysymyksetTaulukko[[#This Row],[Vastaus]]="Kyllä"),1,0)</f>
        <v>0</v>
      </c>
      <c r="U37" s="121">
        <f>IF(AND(KysymyksetTaulukko[[#This Row],[Maksimipisteet]]=1,NOT(ISBLANK(KysymyksetTaulukko[[#This Row],[Vastaus]]))),1,0)</f>
        <v>0</v>
      </c>
      <c r="V37" s="123">
        <f>IF(OR(KysymyksetTaulukko[[#This Row],[Luokka + toimiala]]="Ei kuulu",KysymyksetTaulukko[[#This Row],[Vastaus]]="Ei koske",KysymyksetTaulukko[[#This Row],[Luokka]]="Extra",KysymyksetTaulukko[[#This Row],[Otsikkorivi]]="Kyllä"),0,1)</f>
        <v>0</v>
      </c>
    </row>
    <row r="38" spans="1:22" ht="28.5" x14ac:dyDescent="0.35">
      <c r="A38" s="3" t="s">
        <v>12</v>
      </c>
      <c r="B38" s="3" t="str">
        <f>IF(ISNUMBER(SEARCH("," &amp; LV!$B$10 &amp; ",", "," &amp; SUBSTITUTE(A38, " ", "")&amp; ",")),
  "Kuuluu",
  IF(AND(LV!$B$10&gt;=2,
      LV!$B$10&lt;=4,
      OR(ISNUMBER(SEARCH("," &amp;(LV!$B$10+1)&amp; ",", "," &amp; SUBSTITUTE(A38, " ", "")&amp; ",")),
        ISNUMBER(SEARCH("," &amp;(LV!$B$10+2)&amp; ",", "," &amp; SUBSTITUTE(A38, " ", "")&amp; ",")),
        ISNUMBER(SEARCH("," &amp;(LV!$B$10+3)&amp; ",", "," &amp; SUBSTITUTE(A38, " ", "")&amp; ",")),
        ISNUMBER(SEARCH("," &amp;(LV!$B$10+4)&amp; ",", "," &amp; SUBSTITUTE(A38, " ", "")&amp; ",")),
        ISNUMBER(SEARCH("," &amp;(LV!$B$10+5)&amp; ",", "," &amp; SUBSTITUTE(A38, " ", "")&amp; ",")))),
    "Extra",
    "Ei kuulu"))</f>
        <v>Ei kuulu</v>
      </c>
      <c r="C38" s="3" t="s">
        <v>28</v>
      </c>
      <c r="D38" s="3" t="str">
        <f>IF(ISNUMBER(SEARCH(LV!$I$5, Turvallinen_ja_toimintavarma!C38)), "K", "E")</f>
        <v>E</v>
      </c>
      <c r="E38" s="3" t="str">
        <f>IF(ISNUMBER(SEARCH(LV!$I$6, Turvallinen_ja_toimintavarma!$C38)), "K", "E")</f>
        <v>E</v>
      </c>
      <c r="F38" s="3" t="str">
        <f>IF(ISNUMBER(SEARCH(LV!$I$7, Turvallinen_ja_toimintavarma!$C38)), "K", "E")</f>
        <v>E</v>
      </c>
      <c r="G38" s="3" t="str">
        <f>IF(ISNUMBER(SEARCH(LV!$I$8, Turvallinen_ja_toimintavarma!$C38)), "K", "E")</f>
        <v>E</v>
      </c>
      <c r="H38" s="3" t="str">
        <f>IF(OR(KysymyksetTaulukko[[#This Row],[Toimiala A]]="K",KysymyksetTaulukko[[#This Row],[Toimiala B]]="K",KysymyksetTaulukko[[#This Row],[Toimiala C]]="K",KysymyksetTaulukko[[#This Row],[Toimiala D]]="K"),"Kuuluu","Ei kuulu")</f>
        <v>Ei kuulu</v>
      </c>
      <c r="I38" s="3" t="str">
        <f>IF(OR(KysymyksetTaulukko[[#This Row],[Luokka]]="Ei kuulu",KysymyksetTaulukko[[#This Row],[Toimiala-
kysymys]]="Ei kuulu"), "Ei kuulu", "Kuuluu")</f>
        <v>Ei kuulu</v>
      </c>
      <c r="J38" s="3" t="str">
        <f>IF(KysymyksetTaulukko[[#This Row],[Luokka + toimiala]]="Kuuluu","a) Oman vesilaitoksen kysymykset","b) Muut kysymykset")</f>
        <v>b) Muut kysymykset</v>
      </c>
      <c r="K38" s="125" t="s">
        <v>7</v>
      </c>
      <c r="L38" s="9" t="s">
        <v>26</v>
      </c>
      <c r="M38" s="61" t="str">
        <f>LEFT(KysymyksetTaulukko[[#This Row],[Alakategoria_]],2)</f>
        <v>2.</v>
      </c>
      <c r="N38" s="109" t="s">
        <v>11</v>
      </c>
      <c r="O38" s="70" t="s">
        <v>206</v>
      </c>
      <c r="P38" s="67" t="str">
        <f>IF(AND(KysymyksetTaulukko[[#This Row],[Luokka]]="Extra",KysymyksetTaulukko[[#This Row],[Luokka + toimiala]]="Kuuluu"),"Extra","")</f>
        <v/>
      </c>
      <c r="Q38" s="114"/>
      <c r="R38" s="64" t="s">
        <v>51</v>
      </c>
      <c r="S38" s="159"/>
      <c r="T38" s="123">
        <f>IF(AND(KysymyksetTaulukko[[#This Row],[Luokka + toimiala]]="Kuuluu",KysymyksetTaulukko[[#This Row],[Vastaus]]="Kyllä"),1,0)</f>
        <v>0</v>
      </c>
      <c r="U38" s="121">
        <f>IF(AND(KysymyksetTaulukko[[#This Row],[Maksimipisteet]]=1,NOT(ISBLANK(KysymyksetTaulukko[[#This Row],[Vastaus]]))),1,0)</f>
        <v>0</v>
      </c>
      <c r="V38" s="123">
        <f>IF(OR(KysymyksetTaulukko[[#This Row],[Luokka + toimiala]]="Ei kuulu",KysymyksetTaulukko[[#This Row],[Vastaus]]="Ei koske",KysymyksetTaulukko[[#This Row],[Luokka]]="Extra",KysymyksetTaulukko[[#This Row],[Otsikkorivi]]="Kyllä"),0,1)</f>
        <v>0</v>
      </c>
    </row>
    <row r="39" spans="1:22" ht="29" x14ac:dyDescent="0.35">
      <c r="A39" s="3">
        <v>3.4</v>
      </c>
      <c r="B39" s="3" t="str">
        <f>IF(ISNUMBER(SEARCH("," &amp; LV!$B$10 &amp; ",", "," &amp; SUBSTITUTE(A39, " ", "")&amp; ",")),
  "Kuuluu",
  IF(AND(LV!$B$10&gt;=2,
      LV!$B$10&lt;=4,
      OR(ISNUMBER(SEARCH("," &amp;(LV!$B$10+1)&amp; ",", "," &amp; SUBSTITUTE(A39, " ", "")&amp; ",")),
        ISNUMBER(SEARCH("," &amp;(LV!$B$10+2)&amp; ",", "," &amp; SUBSTITUTE(A39, " ", "")&amp; ",")),
        ISNUMBER(SEARCH("," &amp;(LV!$B$10+3)&amp; ",", "," &amp; SUBSTITUTE(A39, " ", "")&amp; ",")),
        ISNUMBER(SEARCH("," &amp;(LV!$B$10+4)&amp; ",", "," &amp; SUBSTITUTE(A39, " ", "")&amp; ",")),
        ISNUMBER(SEARCH("," &amp;(LV!$B$10+5)&amp; ",", "," &amp; SUBSTITUTE(A39, " ", "")&amp; ",")))),
    "Extra",
    "Ei kuulu"))</f>
        <v>Ei kuulu</v>
      </c>
      <c r="C39" s="3" t="s">
        <v>28</v>
      </c>
      <c r="D39" s="3" t="str">
        <f>IF(ISNUMBER(SEARCH(LV!$I$5, Turvallinen_ja_toimintavarma!C39)), "K", "E")</f>
        <v>E</v>
      </c>
      <c r="E39" s="3" t="str">
        <f>IF(ISNUMBER(SEARCH(LV!$I$6, Turvallinen_ja_toimintavarma!$C39)), "K", "E")</f>
        <v>E</v>
      </c>
      <c r="F39" s="3" t="str">
        <f>IF(ISNUMBER(SEARCH(LV!$I$7, Turvallinen_ja_toimintavarma!$C39)), "K", "E")</f>
        <v>E</v>
      </c>
      <c r="G39" s="3" t="str">
        <f>IF(ISNUMBER(SEARCH(LV!$I$8, Turvallinen_ja_toimintavarma!$C39)), "K", "E")</f>
        <v>E</v>
      </c>
      <c r="H39" s="3" t="str">
        <f>IF(OR(KysymyksetTaulukko[[#This Row],[Toimiala A]]="K",KysymyksetTaulukko[[#This Row],[Toimiala B]]="K",KysymyksetTaulukko[[#This Row],[Toimiala C]]="K",KysymyksetTaulukko[[#This Row],[Toimiala D]]="K"),"Kuuluu","Ei kuulu")</f>
        <v>Ei kuulu</v>
      </c>
      <c r="I39" s="3" t="str">
        <f>IF(OR(KysymyksetTaulukko[[#This Row],[Luokka]]="Ei kuulu",KysymyksetTaulukko[[#This Row],[Toimiala-
kysymys]]="Ei kuulu"), "Ei kuulu", "Kuuluu")</f>
        <v>Ei kuulu</v>
      </c>
      <c r="J39" s="3" t="str">
        <f>IF(KysymyksetTaulukko[[#This Row],[Luokka + toimiala]]="Kuuluu","a) Oman vesilaitoksen kysymykset","b) Muut kysymykset")</f>
        <v>b) Muut kysymykset</v>
      </c>
      <c r="K39" s="125" t="s">
        <v>7</v>
      </c>
      <c r="L39" s="9" t="s">
        <v>26</v>
      </c>
      <c r="M39" s="61" t="str">
        <f>LEFT(KysymyksetTaulukko[[#This Row],[Alakategoria_]],2)</f>
        <v>2.</v>
      </c>
      <c r="N39" s="109" t="s">
        <v>11</v>
      </c>
      <c r="O39" s="70" t="s">
        <v>206</v>
      </c>
      <c r="P39" s="67" t="str">
        <f>IF(AND(KysymyksetTaulukko[[#This Row],[Luokka]]="Extra",KysymyksetTaulukko[[#This Row],[Luokka + toimiala]]="Kuuluu"),"Extra","")</f>
        <v/>
      </c>
      <c r="Q39" s="114"/>
      <c r="R39" s="64" t="s">
        <v>52</v>
      </c>
      <c r="S39" s="159"/>
      <c r="T39" s="123">
        <f>IF(AND(KysymyksetTaulukko[[#This Row],[Luokka + toimiala]]="Kuuluu",KysymyksetTaulukko[[#This Row],[Vastaus]]="Kyllä"),1,0)</f>
        <v>0</v>
      </c>
      <c r="U39" s="121">
        <f>IF(AND(KysymyksetTaulukko[[#This Row],[Maksimipisteet]]=1,NOT(ISBLANK(KysymyksetTaulukko[[#This Row],[Vastaus]]))),1,0)</f>
        <v>0</v>
      </c>
      <c r="V39" s="123">
        <f>IF(OR(KysymyksetTaulukko[[#This Row],[Luokka + toimiala]]="Ei kuulu",KysymyksetTaulukko[[#This Row],[Vastaus]]="Ei koske",KysymyksetTaulukko[[#This Row],[Luokka]]="Extra",KysymyksetTaulukko[[#This Row],[Otsikkorivi]]="Kyllä"),0,1)</f>
        <v>0</v>
      </c>
    </row>
    <row r="40" spans="1:22" ht="43.5" x14ac:dyDescent="0.35">
      <c r="A40" s="3">
        <v>3.4</v>
      </c>
      <c r="B40" s="3" t="str">
        <f>IF(ISNUMBER(SEARCH("," &amp; LV!$B$10 &amp; ",", "," &amp; SUBSTITUTE(A40, " ", "")&amp; ",")),
  "Kuuluu",
  IF(AND(LV!$B$10&gt;=2,
      LV!$B$10&lt;=4,
      OR(ISNUMBER(SEARCH("," &amp;(LV!$B$10+1)&amp; ",", "," &amp; SUBSTITUTE(A40, " ", "")&amp; ",")),
        ISNUMBER(SEARCH("," &amp;(LV!$B$10+2)&amp; ",", "," &amp; SUBSTITUTE(A40, " ", "")&amp; ",")),
        ISNUMBER(SEARCH("," &amp;(LV!$B$10+3)&amp; ",", "," &amp; SUBSTITUTE(A40, " ", "")&amp; ",")),
        ISNUMBER(SEARCH("," &amp;(LV!$B$10+4)&amp; ",", "," &amp; SUBSTITUTE(A40, " ", "")&amp; ",")),
        ISNUMBER(SEARCH("," &amp;(LV!$B$10+5)&amp; ",", "," &amp; SUBSTITUTE(A40, " ", "")&amp; ",")))),
    "Extra",
    "Ei kuulu"))</f>
        <v>Ei kuulu</v>
      </c>
      <c r="C40" s="3" t="s">
        <v>28</v>
      </c>
      <c r="D40" s="3" t="str">
        <f>IF(ISNUMBER(SEARCH(LV!$I$5, Turvallinen_ja_toimintavarma!C40)), "K", "E")</f>
        <v>E</v>
      </c>
      <c r="E40" s="3" t="str">
        <f>IF(ISNUMBER(SEARCH(LV!$I$6, Turvallinen_ja_toimintavarma!$C40)), "K", "E")</f>
        <v>E</v>
      </c>
      <c r="F40" s="3" t="str">
        <f>IF(ISNUMBER(SEARCH(LV!$I$7, Turvallinen_ja_toimintavarma!$C40)), "K", "E")</f>
        <v>E</v>
      </c>
      <c r="G40" s="3" t="str">
        <f>IF(ISNUMBER(SEARCH(LV!$I$8, Turvallinen_ja_toimintavarma!$C40)), "K", "E")</f>
        <v>E</v>
      </c>
      <c r="H40" s="3" t="str">
        <f>IF(OR(KysymyksetTaulukko[[#This Row],[Toimiala A]]="K",KysymyksetTaulukko[[#This Row],[Toimiala B]]="K",KysymyksetTaulukko[[#This Row],[Toimiala C]]="K",KysymyksetTaulukko[[#This Row],[Toimiala D]]="K"),"Kuuluu","Ei kuulu")</f>
        <v>Ei kuulu</v>
      </c>
      <c r="I40" s="3" t="str">
        <f>IF(OR(KysymyksetTaulukko[[#This Row],[Luokka]]="Ei kuulu",KysymyksetTaulukko[[#This Row],[Toimiala-
kysymys]]="Ei kuulu"), "Ei kuulu", "Kuuluu")</f>
        <v>Ei kuulu</v>
      </c>
      <c r="J40" s="3" t="str">
        <f>IF(KysymyksetTaulukko[[#This Row],[Luokka + toimiala]]="Kuuluu","a) Oman vesilaitoksen kysymykset","b) Muut kysymykset")</f>
        <v>b) Muut kysymykset</v>
      </c>
      <c r="K40" s="125" t="s">
        <v>7</v>
      </c>
      <c r="L40" s="9" t="s">
        <v>26</v>
      </c>
      <c r="M40" s="61" t="str">
        <f>LEFT(KysymyksetTaulukko[[#This Row],[Alakategoria_]],2)</f>
        <v>2.</v>
      </c>
      <c r="N40" s="109" t="s">
        <v>11</v>
      </c>
      <c r="O40" s="70" t="s">
        <v>206</v>
      </c>
      <c r="P40" s="67" t="str">
        <f>IF(AND(KysymyksetTaulukko[[#This Row],[Luokka]]="Extra",KysymyksetTaulukko[[#This Row],[Luokka + toimiala]]="Kuuluu"),"Extra","")</f>
        <v/>
      </c>
      <c r="Q40" s="114"/>
      <c r="R40" s="64" t="s">
        <v>53</v>
      </c>
      <c r="S40" s="159"/>
      <c r="T40" s="123">
        <f>IF(AND(KysymyksetTaulukko[[#This Row],[Luokka + toimiala]]="Kuuluu",KysymyksetTaulukko[[#This Row],[Vastaus]]="Kyllä"),1,0)</f>
        <v>0</v>
      </c>
      <c r="U40" s="121">
        <f>IF(AND(KysymyksetTaulukko[[#This Row],[Maksimipisteet]]=1,NOT(ISBLANK(KysymyksetTaulukko[[#This Row],[Vastaus]]))),1,0)</f>
        <v>0</v>
      </c>
      <c r="V40" s="123">
        <f>IF(OR(KysymyksetTaulukko[[#This Row],[Luokka + toimiala]]="Ei kuulu",KysymyksetTaulukko[[#This Row],[Vastaus]]="Ei koske",KysymyksetTaulukko[[#This Row],[Luokka]]="Extra",KysymyksetTaulukko[[#This Row],[Otsikkorivi]]="Kyllä"),0,1)</f>
        <v>0</v>
      </c>
    </row>
    <row r="41" spans="1:22" ht="29" x14ac:dyDescent="0.35">
      <c r="A41" s="3" t="s">
        <v>40</v>
      </c>
      <c r="B41" s="3" t="str">
        <f>IF(ISNUMBER(SEARCH("," &amp; LV!$B$10 &amp; ",", "," &amp; SUBSTITUTE(A41, " ", "")&amp; ",")),
  "Kuuluu",
  IF(AND(LV!$B$10&gt;=2,
      LV!$B$10&lt;=4,
      OR(ISNUMBER(SEARCH("," &amp;(LV!$B$10+1)&amp; ",", "," &amp; SUBSTITUTE(A41, " ", "")&amp; ",")),
        ISNUMBER(SEARCH("," &amp;(LV!$B$10+2)&amp; ",", "," &amp; SUBSTITUTE(A41, " ", "")&amp; ",")),
        ISNUMBER(SEARCH("," &amp;(LV!$B$10+3)&amp; ",", "," &amp; SUBSTITUTE(A41, " ", "")&amp; ",")),
        ISNUMBER(SEARCH("," &amp;(LV!$B$10+4)&amp; ",", "," &amp; SUBSTITUTE(A41, " ", "")&amp; ",")),
        ISNUMBER(SEARCH("," &amp;(LV!$B$10+5)&amp; ",", "," &amp; SUBSTITUTE(A41, " ", "")&amp; ",")))),
    "Extra",
    "Ei kuulu"))</f>
        <v>Ei kuulu</v>
      </c>
      <c r="C41" s="3" t="s">
        <v>28</v>
      </c>
      <c r="D41" s="3" t="str">
        <f>IF(ISNUMBER(SEARCH(LV!$I$5, Turvallinen_ja_toimintavarma!C41)), "K", "E")</f>
        <v>E</v>
      </c>
      <c r="E41" s="3" t="str">
        <f>IF(ISNUMBER(SEARCH(LV!$I$6, Turvallinen_ja_toimintavarma!$C41)), "K", "E")</f>
        <v>E</v>
      </c>
      <c r="F41" s="3" t="str">
        <f>IF(ISNUMBER(SEARCH(LV!$I$7, Turvallinen_ja_toimintavarma!$C41)), "K", "E")</f>
        <v>E</v>
      </c>
      <c r="G41" s="3" t="str">
        <f>IF(ISNUMBER(SEARCH(LV!$I$8, Turvallinen_ja_toimintavarma!$C41)), "K", "E")</f>
        <v>E</v>
      </c>
      <c r="H41" s="3" t="str">
        <f>IF(OR(KysymyksetTaulukko[[#This Row],[Toimiala A]]="K",KysymyksetTaulukko[[#This Row],[Toimiala B]]="K",KysymyksetTaulukko[[#This Row],[Toimiala C]]="K",KysymyksetTaulukko[[#This Row],[Toimiala D]]="K"),"Kuuluu","Ei kuulu")</f>
        <v>Ei kuulu</v>
      </c>
      <c r="I41" s="3" t="str">
        <f>IF(OR(KysymyksetTaulukko[[#This Row],[Luokka]]="Ei kuulu",KysymyksetTaulukko[[#This Row],[Toimiala-
kysymys]]="Ei kuulu"), "Ei kuulu", "Kuuluu")</f>
        <v>Ei kuulu</v>
      </c>
      <c r="J41" s="3" t="str">
        <f>IF(KysymyksetTaulukko[[#This Row],[Luokka + toimiala]]="Kuuluu","a) Oman vesilaitoksen kysymykset","b) Muut kysymykset")</f>
        <v>b) Muut kysymykset</v>
      </c>
      <c r="K41" s="125" t="s">
        <v>7</v>
      </c>
      <c r="L41" s="9" t="s">
        <v>26</v>
      </c>
      <c r="M41" s="61" t="str">
        <f>LEFT(KysymyksetTaulukko[[#This Row],[Alakategoria_]],2)</f>
        <v>2.</v>
      </c>
      <c r="N41" s="109" t="s">
        <v>11</v>
      </c>
      <c r="O41" s="70" t="s">
        <v>206</v>
      </c>
      <c r="P41" s="67" t="str">
        <f>IF(AND(KysymyksetTaulukko[[#This Row],[Luokka]]="Extra",KysymyksetTaulukko[[#This Row],[Luokka + toimiala]]="Kuuluu"),"Extra","")</f>
        <v/>
      </c>
      <c r="Q41" s="114"/>
      <c r="R41" s="64" t="s">
        <v>54</v>
      </c>
      <c r="S41" s="159"/>
      <c r="T41" s="123">
        <f>IF(AND(KysymyksetTaulukko[[#This Row],[Luokka + toimiala]]="Kuuluu",KysymyksetTaulukko[[#This Row],[Vastaus]]="Kyllä"),1,0)</f>
        <v>0</v>
      </c>
      <c r="U41" s="121">
        <f>IF(AND(KysymyksetTaulukko[[#This Row],[Maksimipisteet]]=1,NOT(ISBLANK(KysymyksetTaulukko[[#This Row],[Vastaus]]))),1,0)</f>
        <v>0</v>
      </c>
      <c r="V41" s="123">
        <f>IF(OR(KysymyksetTaulukko[[#This Row],[Luokka + toimiala]]="Ei kuulu",KysymyksetTaulukko[[#This Row],[Vastaus]]="Ei koske",KysymyksetTaulukko[[#This Row],[Luokka]]="Extra",KysymyksetTaulukko[[#This Row],[Otsikkorivi]]="Kyllä"),0,1)</f>
        <v>0</v>
      </c>
    </row>
    <row r="42" spans="1:22" ht="29" x14ac:dyDescent="0.35">
      <c r="A42" s="3">
        <v>4</v>
      </c>
      <c r="B42" s="3" t="str">
        <f>IF(ISNUMBER(SEARCH("," &amp; LV!$B$10 &amp; ",", "," &amp; SUBSTITUTE(A42, " ", "")&amp; ",")),
  "Kuuluu",
  IF(AND(LV!$B$10&gt;=2,
      LV!$B$10&lt;=4,
      OR(ISNUMBER(SEARCH("," &amp;(LV!$B$10+1)&amp; ",", "," &amp; SUBSTITUTE(A42, " ", "")&amp; ",")),
        ISNUMBER(SEARCH("," &amp;(LV!$B$10+2)&amp; ",", "," &amp; SUBSTITUTE(A42, " ", "")&amp; ",")),
        ISNUMBER(SEARCH("," &amp;(LV!$B$10+3)&amp; ",", "," &amp; SUBSTITUTE(A42, " ", "")&amp; ",")),
        ISNUMBER(SEARCH("," &amp;(LV!$B$10+4)&amp; ",", "," &amp; SUBSTITUTE(A42, " ", "")&amp; ",")),
        ISNUMBER(SEARCH("," &amp;(LV!$B$10+5)&amp; ",", "," &amp; SUBSTITUTE(A42, " ", "")&amp; ",")))),
    "Extra",
    "Ei kuulu"))</f>
        <v>Ei kuulu</v>
      </c>
      <c r="C42" s="3" t="s">
        <v>28</v>
      </c>
      <c r="D42" s="3" t="str">
        <f>IF(ISNUMBER(SEARCH(LV!$I$5, Turvallinen_ja_toimintavarma!C42)), "K", "E")</f>
        <v>E</v>
      </c>
      <c r="E42" s="3" t="str">
        <f>IF(ISNUMBER(SEARCH(LV!$I$6, Turvallinen_ja_toimintavarma!$C42)), "K", "E")</f>
        <v>E</v>
      </c>
      <c r="F42" s="3" t="str">
        <f>IF(ISNUMBER(SEARCH(LV!$I$7, Turvallinen_ja_toimintavarma!$C42)), "K", "E")</f>
        <v>E</v>
      </c>
      <c r="G42" s="3" t="str">
        <f>IF(ISNUMBER(SEARCH(LV!$I$8, Turvallinen_ja_toimintavarma!$C42)), "K", "E")</f>
        <v>E</v>
      </c>
      <c r="H42" s="3" t="str">
        <f>IF(OR(KysymyksetTaulukko[[#This Row],[Toimiala A]]="K",KysymyksetTaulukko[[#This Row],[Toimiala B]]="K",KysymyksetTaulukko[[#This Row],[Toimiala C]]="K",KysymyksetTaulukko[[#This Row],[Toimiala D]]="K"),"Kuuluu","Ei kuulu")</f>
        <v>Ei kuulu</v>
      </c>
      <c r="I42" s="3" t="str">
        <f>IF(OR(KysymyksetTaulukko[[#This Row],[Luokka]]="Ei kuulu",KysymyksetTaulukko[[#This Row],[Toimiala-
kysymys]]="Ei kuulu"), "Ei kuulu", "Kuuluu")</f>
        <v>Ei kuulu</v>
      </c>
      <c r="J42" s="3" t="str">
        <f>IF(KysymyksetTaulukko[[#This Row],[Luokka + toimiala]]="Kuuluu","a) Oman vesilaitoksen kysymykset","b) Muut kysymykset")</f>
        <v>b) Muut kysymykset</v>
      </c>
      <c r="K42" s="125" t="s">
        <v>7</v>
      </c>
      <c r="L42" s="9" t="s">
        <v>26</v>
      </c>
      <c r="M42" s="61" t="str">
        <f>LEFT(KysymyksetTaulukko[[#This Row],[Alakategoria_]],2)</f>
        <v>2.</v>
      </c>
      <c r="N42" s="109" t="s">
        <v>11</v>
      </c>
      <c r="O42" s="70" t="s">
        <v>206</v>
      </c>
      <c r="P42" s="67" t="str">
        <f>IF(AND(KysymyksetTaulukko[[#This Row],[Luokka]]="Extra",KysymyksetTaulukko[[#This Row],[Luokka + toimiala]]="Kuuluu"),"Extra","")</f>
        <v/>
      </c>
      <c r="Q42" s="114"/>
      <c r="R42" s="64" t="s">
        <v>55</v>
      </c>
      <c r="S42" s="159"/>
      <c r="T42" s="123">
        <f>IF(AND(KysymyksetTaulukko[[#This Row],[Luokka + toimiala]]="Kuuluu",KysymyksetTaulukko[[#This Row],[Vastaus]]="Kyllä"),1,0)</f>
        <v>0</v>
      </c>
      <c r="U42" s="121">
        <f>IF(AND(KysymyksetTaulukko[[#This Row],[Maksimipisteet]]=1,NOT(ISBLANK(KysymyksetTaulukko[[#This Row],[Vastaus]]))),1,0)</f>
        <v>0</v>
      </c>
      <c r="V42" s="123">
        <f>IF(OR(KysymyksetTaulukko[[#This Row],[Luokka + toimiala]]="Ei kuulu",KysymyksetTaulukko[[#This Row],[Vastaus]]="Ei koske",KysymyksetTaulukko[[#This Row],[Luokka]]="Extra",KysymyksetTaulukko[[#This Row],[Otsikkorivi]]="Kyllä"),0,1)</f>
        <v>0</v>
      </c>
    </row>
    <row r="43" spans="1:22" ht="28.5" x14ac:dyDescent="0.35">
      <c r="A43" s="3" t="s">
        <v>6</v>
      </c>
      <c r="B43" s="3" t="str">
        <f>IF(ISNUMBER(SEARCH("," &amp; LV!$B$10 &amp; ",", "," &amp; SUBSTITUTE(A43, " ", "")&amp; ",")),
  "Kuuluu",
  IF(AND(LV!$B$10&gt;=2,
      LV!$B$10&lt;=4,
      OR(ISNUMBER(SEARCH("," &amp;(LV!$B$10+1)&amp; ",", "," &amp; SUBSTITUTE(A43, " ", "")&amp; ",")),
        ISNUMBER(SEARCH("," &amp;(LV!$B$10+2)&amp; ",", "," &amp; SUBSTITUTE(A43, " ", "")&amp; ",")),
        ISNUMBER(SEARCH("," &amp;(LV!$B$10+3)&amp; ",", "," &amp; SUBSTITUTE(A43, " ", "")&amp; ",")),
        ISNUMBER(SEARCH("," &amp;(LV!$B$10+4)&amp; ",", "," &amp; SUBSTITUTE(A43, " ", "")&amp; ",")),
        ISNUMBER(SEARCH("," &amp;(LV!$B$10+5)&amp; ",", "," &amp; SUBSTITUTE(A43, " ", "")&amp; ",")))),
    "Extra",
    "Ei kuulu"))</f>
        <v>Ei kuulu</v>
      </c>
      <c r="C43" s="3" t="s">
        <v>28</v>
      </c>
      <c r="D43" s="3" t="str">
        <f>IF(ISNUMBER(SEARCH(LV!$I$5, Turvallinen_ja_toimintavarma!C43)), "K", "E")</f>
        <v>E</v>
      </c>
      <c r="E43" s="3" t="str">
        <f>IF(ISNUMBER(SEARCH(LV!$I$6, Turvallinen_ja_toimintavarma!$C43)), "K", "E")</f>
        <v>E</v>
      </c>
      <c r="F43" s="3" t="str">
        <f>IF(ISNUMBER(SEARCH(LV!$I$7, Turvallinen_ja_toimintavarma!$C43)), "K", "E")</f>
        <v>E</v>
      </c>
      <c r="G43" s="3" t="str">
        <f>IF(ISNUMBER(SEARCH(LV!$I$8, Turvallinen_ja_toimintavarma!$C43)), "K", "E")</f>
        <v>E</v>
      </c>
      <c r="H43" s="3" t="str">
        <f>IF(OR(KysymyksetTaulukko[[#This Row],[Toimiala A]]="K",KysymyksetTaulukko[[#This Row],[Toimiala B]]="K",KysymyksetTaulukko[[#This Row],[Toimiala C]]="K",KysymyksetTaulukko[[#This Row],[Toimiala D]]="K"),"Kuuluu","Ei kuulu")</f>
        <v>Ei kuulu</v>
      </c>
      <c r="I43" s="3" t="str">
        <f>IF(OR(KysymyksetTaulukko[[#This Row],[Luokka]]="Ei kuulu",KysymyksetTaulukko[[#This Row],[Toimiala-
kysymys]]="Ei kuulu"), "Ei kuulu", "Kuuluu")</f>
        <v>Ei kuulu</v>
      </c>
      <c r="J43" s="3" t="str">
        <f>IF(KysymyksetTaulukko[[#This Row],[Luokka + toimiala]]="Kuuluu","a) Oman vesilaitoksen kysymykset","b) Muut kysymykset")</f>
        <v>b) Muut kysymykset</v>
      </c>
      <c r="K43" s="125" t="s">
        <v>7</v>
      </c>
      <c r="L43" s="9" t="s">
        <v>241</v>
      </c>
      <c r="M43" s="61" t="str">
        <f>LEFT(KysymyksetTaulukko[[#This Row],[Alakategoria_]],2)</f>
        <v>_O</v>
      </c>
      <c r="N43" s="107"/>
      <c r="O43" s="70"/>
      <c r="P43" s="67" t="str">
        <f>IF(AND(KysymyksetTaulukko[[#This Row],[Luokka]]="Extra",KysymyksetTaulukko[[#This Row],[Luokka + toimiala]]="Kuuluu"),"Extra","")</f>
        <v/>
      </c>
      <c r="Q43" s="114" t="s">
        <v>177</v>
      </c>
      <c r="R43" s="128" t="s">
        <v>56</v>
      </c>
      <c r="S43" s="158"/>
      <c r="T43" s="123">
        <f>IF(AND(KysymyksetTaulukko[[#This Row],[Luokka + toimiala]]="Kuuluu",KysymyksetTaulukko[[#This Row],[Vastaus]]="Kyllä"),1,0)</f>
        <v>0</v>
      </c>
      <c r="U43" s="121">
        <f>IF(AND(KysymyksetTaulukko[[#This Row],[Maksimipisteet]]=1,NOT(ISBLANK(KysymyksetTaulukko[[#This Row],[Vastaus]]))),1,0)</f>
        <v>0</v>
      </c>
      <c r="V43" s="123">
        <f>IF(OR(KysymyksetTaulukko[[#This Row],[Luokka + toimiala]]="Ei kuulu",KysymyksetTaulukko[[#This Row],[Vastaus]]="Ei koske",KysymyksetTaulukko[[#This Row],[Luokka]]="Extra",KysymyksetTaulukko[[#This Row],[Otsikkorivi]]="Kyllä"),0,1)</f>
        <v>0</v>
      </c>
    </row>
    <row r="44" spans="1:22" ht="29" x14ac:dyDescent="0.35">
      <c r="A44" s="3" t="s">
        <v>12</v>
      </c>
      <c r="B44" s="3" t="str">
        <f>IF(ISNUMBER(SEARCH("," &amp; LV!$B$10 &amp; ",", "," &amp; SUBSTITUTE(A44, " ", "")&amp; ",")),
  "Kuuluu",
  IF(AND(LV!$B$10&gt;=2,
      LV!$B$10&lt;=4,
      OR(ISNUMBER(SEARCH("," &amp;(LV!$B$10+1)&amp; ",", "," &amp; SUBSTITUTE(A44, " ", "")&amp; ",")),
        ISNUMBER(SEARCH("," &amp;(LV!$B$10+2)&amp; ",", "," &amp; SUBSTITUTE(A44, " ", "")&amp; ",")),
        ISNUMBER(SEARCH("," &amp;(LV!$B$10+3)&amp; ",", "," &amp; SUBSTITUTE(A44, " ", "")&amp; ",")),
        ISNUMBER(SEARCH("," &amp;(LV!$B$10+4)&amp; ",", "," &amp; SUBSTITUTE(A44, " ", "")&amp; ",")),
        ISNUMBER(SEARCH("," &amp;(LV!$B$10+5)&amp; ",", "," &amp; SUBSTITUTE(A44, " ", "")&amp; ",")))),
    "Extra",
    "Ei kuulu"))</f>
        <v>Ei kuulu</v>
      </c>
      <c r="C44" s="3" t="s">
        <v>17</v>
      </c>
      <c r="D44" s="3" t="str">
        <f>IF(ISNUMBER(SEARCH(LV!$I$5, Turvallinen_ja_toimintavarma!C44)), "K", "E")</f>
        <v>E</v>
      </c>
      <c r="E44" s="3" t="str">
        <f>IF(ISNUMBER(SEARCH(LV!$I$6, Turvallinen_ja_toimintavarma!$C44)), "K", "E")</f>
        <v>E</v>
      </c>
      <c r="F44" s="3" t="str">
        <f>IF(ISNUMBER(SEARCH(LV!$I$7, Turvallinen_ja_toimintavarma!$C44)), "K", "E")</f>
        <v>E</v>
      </c>
      <c r="G44" s="3" t="str">
        <f>IF(ISNUMBER(SEARCH(LV!$I$8, Turvallinen_ja_toimintavarma!$C44)), "K", "E")</f>
        <v>E</v>
      </c>
      <c r="H44" s="3" t="str">
        <f>IF(OR(KysymyksetTaulukko[[#This Row],[Toimiala A]]="K",KysymyksetTaulukko[[#This Row],[Toimiala B]]="K",KysymyksetTaulukko[[#This Row],[Toimiala C]]="K",KysymyksetTaulukko[[#This Row],[Toimiala D]]="K"),"Kuuluu","Ei kuulu")</f>
        <v>Ei kuulu</v>
      </c>
      <c r="I44" s="3" t="str">
        <f>IF(OR(KysymyksetTaulukko[[#This Row],[Luokka]]="Ei kuulu",KysymyksetTaulukko[[#This Row],[Toimiala-
kysymys]]="Ei kuulu"), "Ei kuulu", "Kuuluu")</f>
        <v>Ei kuulu</v>
      </c>
      <c r="J44" s="3" t="str">
        <f>IF(KysymyksetTaulukko[[#This Row],[Luokka + toimiala]]="Kuuluu","a) Oman vesilaitoksen kysymykset","b) Muut kysymykset")</f>
        <v>b) Muut kysymykset</v>
      </c>
      <c r="K44" s="125" t="s">
        <v>7</v>
      </c>
      <c r="L44" s="9" t="s">
        <v>56</v>
      </c>
      <c r="M44" s="61" t="str">
        <f>LEFT(KysymyksetTaulukko[[#This Row],[Alakategoria_]],2)</f>
        <v>3.</v>
      </c>
      <c r="N44" s="109" t="s">
        <v>11</v>
      </c>
      <c r="O44" s="70" t="s">
        <v>206</v>
      </c>
      <c r="P44" s="67" t="str">
        <f>IF(AND(KysymyksetTaulukko[[#This Row],[Luokka]]="Extra",KysymyksetTaulukko[[#This Row],[Luokka + toimiala]]="Kuuluu"),"Extra","")</f>
        <v/>
      </c>
      <c r="Q44" s="114"/>
      <c r="R44" s="64" t="s">
        <v>57</v>
      </c>
      <c r="S44" s="159"/>
      <c r="T44" s="123">
        <f>IF(AND(KysymyksetTaulukko[[#This Row],[Luokka + toimiala]]="Kuuluu",KysymyksetTaulukko[[#This Row],[Vastaus]]="Kyllä"),1,0)</f>
        <v>0</v>
      </c>
      <c r="U44" s="121">
        <f>IF(AND(KysymyksetTaulukko[[#This Row],[Maksimipisteet]]=1,NOT(ISBLANK(KysymyksetTaulukko[[#This Row],[Vastaus]]))),1,0)</f>
        <v>0</v>
      </c>
      <c r="V44" s="123">
        <f>IF(OR(KysymyksetTaulukko[[#This Row],[Luokka + toimiala]]="Ei kuulu",KysymyksetTaulukko[[#This Row],[Vastaus]]="Ei koske",KysymyksetTaulukko[[#This Row],[Luokka]]="Extra",KysymyksetTaulukko[[#This Row],[Otsikkorivi]]="Kyllä"),0,1)</f>
        <v>0</v>
      </c>
    </row>
    <row r="45" spans="1:22" ht="29" x14ac:dyDescent="0.35">
      <c r="A45" s="3" t="s">
        <v>12</v>
      </c>
      <c r="B45" s="3" t="str">
        <f>IF(ISNUMBER(SEARCH("," &amp; LV!$B$10 &amp; ",", "," &amp; SUBSTITUTE(A45, " ", "")&amp; ",")),
  "Kuuluu",
  IF(AND(LV!$B$10&gt;=2,
      LV!$B$10&lt;=4,
      OR(ISNUMBER(SEARCH("," &amp;(LV!$B$10+1)&amp; ",", "," &amp; SUBSTITUTE(A45, " ", "")&amp; ",")),
        ISNUMBER(SEARCH("," &amp;(LV!$B$10+2)&amp; ",", "," &amp; SUBSTITUTE(A45, " ", "")&amp; ",")),
        ISNUMBER(SEARCH("," &amp;(LV!$B$10+3)&amp; ",", "," &amp; SUBSTITUTE(A45, " ", "")&amp; ",")),
        ISNUMBER(SEARCH("," &amp;(LV!$B$10+4)&amp; ",", "," &amp; SUBSTITUTE(A45, " ", "")&amp; ",")),
        ISNUMBER(SEARCH("," &amp;(LV!$B$10+5)&amp; ",", "," &amp; SUBSTITUTE(A45, " ", "")&amp; ",")))),
    "Extra",
    "Ei kuulu"))</f>
        <v>Ei kuulu</v>
      </c>
      <c r="C45" s="3" t="s">
        <v>17</v>
      </c>
      <c r="D45" s="3" t="str">
        <f>IF(ISNUMBER(SEARCH(LV!$I$5, Turvallinen_ja_toimintavarma!C45)), "K", "E")</f>
        <v>E</v>
      </c>
      <c r="E45" s="3" t="str">
        <f>IF(ISNUMBER(SEARCH(LV!$I$6, Turvallinen_ja_toimintavarma!$C45)), "K", "E")</f>
        <v>E</v>
      </c>
      <c r="F45" s="3" t="str">
        <f>IF(ISNUMBER(SEARCH(LV!$I$7, Turvallinen_ja_toimintavarma!$C45)), "K", "E")</f>
        <v>E</v>
      </c>
      <c r="G45" s="3" t="str">
        <f>IF(ISNUMBER(SEARCH(LV!$I$8, Turvallinen_ja_toimintavarma!$C45)), "K", "E")</f>
        <v>E</v>
      </c>
      <c r="H45" s="3" t="str">
        <f>IF(OR(KysymyksetTaulukko[[#This Row],[Toimiala A]]="K",KysymyksetTaulukko[[#This Row],[Toimiala B]]="K",KysymyksetTaulukko[[#This Row],[Toimiala C]]="K",KysymyksetTaulukko[[#This Row],[Toimiala D]]="K"),"Kuuluu","Ei kuulu")</f>
        <v>Ei kuulu</v>
      </c>
      <c r="I45" s="3" t="str">
        <f>IF(OR(KysymyksetTaulukko[[#This Row],[Luokka]]="Ei kuulu",KysymyksetTaulukko[[#This Row],[Toimiala-
kysymys]]="Ei kuulu"), "Ei kuulu", "Kuuluu")</f>
        <v>Ei kuulu</v>
      </c>
      <c r="J45" s="3" t="str">
        <f>IF(KysymyksetTaulukko[[#This Row],[Luokka + toimiala]]="Kuuluu","a) Oman vesilaitoksen kysymykset","b) Muut kysymykset")</f>
        <v>b) Muut kysymykset</v>
      </c>
      <c r="K45" s="125" t="s">
        <v>7</v>
      </c>
      <c r="L45" s="9" t="s">
        <v>56</v>
      </c>
      <c r="M45" s="61" t="str">
        <f>LEFT(KysymyksetTaulukko[[#This Row],[Alakategoria_]],2)</f>
        <v>3.</v>
      </c>
      <c r="N45" s="109" t="s">
        <v>11</v>
      </c>
      <c r="O45" s="70" t="s">
        <v>206</v>
      </c>
      <c r="P45" s="67" t="str">
        <f>IF(AND(KysymyksetTaulukko[[#This Row],[Luokka]]="Extra",KysymyksetTaulukko[[#This Row],[Luokka + toimiala]]="Kuuluu"),"Extra","")</f>
        <v/>
      </c>
      <c r="Q45" s="114"/>
      <c r="R45" s="64" t="s">
        <v>58</v>
      </c>
      <c r="S45" s="159"/>
      <c r="T45" s="123">
        <f>IF(AND(KysymyksetTaulukko[[#This Row],[Luokka + toimiala]]="Kuuluu",KysymyksetTaulukko[[#This Row],[Vastaus]]="Kyllä"),1,0)</f>
        <v>0</v>
      </c>
      <c r="U45" s="121">
        <f>IF(AND(KysymyksetTaulukko[[#This Row],[Maksimipisteet]]=1,NOT(ISBLANK(KysymyksetTaulukko[[#This Row],[Vastaus]]))),1,0)</f>
        <v>0</v>
      </c>
      <c r="V45" s="123">
        <f>IF(OR(KysymyksetTaulukko[[#This Row],[Luokka + toimiala]]="Ei kuulu",KysymyksetTaulukko[[#This Row],[Vastaus]]="Ei koske",KysymyksetTaulukko[[#This Row],[Luokka]]="Extra",KysymyksetTaulukko[[#This Row],[Otsikkorivi]]="Kyllä"),0,1)</f>
        <v>0</v>
      </c>
    </row>
    <row r="46" spans="1:22" ht="29" x14ac:dyDescent="0.35">
      <c r="A46" s="3" t="s">
        <v>12</v>
      </c>
      <c r="B46" s="3" t="str">
        <f>IF(ISNUMBER(SEARCH("," &amp; LV!$B$10 &amp; ",", "," &amp; SUBSTITUTE(A46, " ", "")&amp; ",")),
  "Kuuluu",
  IF(AND(LV!$B$10&gt;=2,
      LV!$B$10&lt;=4,
      OR(ISNUMBER(SEARCH("," &amp;(LV!$B$10+1)&amp; ",", "," &amp; SUBSTITUTE(A46, " ", "")&amp; ",")),
        ISNUMBER(SEARCH("," &amp;(LV!$B$10+2)&amp; ",", "," &amp; SUBSTITUTE(A46, " ", "")&amp; ",")),
        ISNUMBER(SEARCH("," &amp;(LV!$B$10+3)&amp; ",", "," &amp; SUBSTITUTE(A46, " ", "")&amp; ",")),
        ISNUMBER(SEARCH("," &amp;(LV!$B$10+4)&amp; ",", "," &amp; SUBSTITUTE(A46, " ", "")&amp; ",")),
        ISNUMBER(SEARCH("," &amp;(LV!$B$10+5)&amp; ",", "," &amp; SUBSTITUTE(A46, " ", "")&amp; ",")))),
    "Extra",
    "Ei kuulu"))</f>
        <v>Ei kuulu</v>
      </c>
      <c r="C46" s="3" t="s">
        <v>17</v>
      </c>
      <c r="D46" s="3" t="str">
        <f>IF(ISNUMBER(SEARCH(LV!$I$5, Turvallinen_ja_toimintavarma!C46)), "K", "E")</f>
        <v>E</v>
      </c>
      <c r="E46" s="3" t="str">
        <f>IF(ISNUMBER(SEARCH(LV!$I$6, Turvallinen_ja_toimintavarma!$C46)), "K", "E")</f>
        <v>E</v>
      </c>
      <c r="F46" s="3" t="str">
        <f>IF(ISNUMBER(SEARCH(LV!$I$7, Turvallinen_ja_toimintavarma!$C46)), "K", "E")</f>
        <v>E</v>
      </c>
      <c r="G46" s="3" t="str">
        <f>IF(ISNUMBER(SEARCH(LV!$I$8, Turvallinen_ja_toimintavarma!$C46)), "K", "E")</f>
        <v>E</v>
      </c>
      <c r="H46" s="3" t="str">
        <f>IF(OR(KysymyksetTaulukko[[#This Row],[Toimiala A]]="K",KysymyksetTaulukko[[#This Row],[Toimiala B]]="K",KysymyksetTaulukko[[#This Row],[Toimiala C]]="K",KysymyksetTaulukko[[#This Row],[Toimiala D]]="K"),"Kuuluu","Ei kuulu")</f>
        <v>Ei kuulu</v>
      </c>
      <c r="I46" s="3" t="str">
        <f>IF(OR(KysymyksetTaulukko[[#This Row],[Luokka]]="Ei kuulu",KysymyksetTaulukko[[#This Row],[Toimiala-
kysymys]]="Ei kuulu"), "Ei kuulu", "Kuuluu")</f>
        <v>Ei kuulu</v>
      </c>
      <c r="J46" s="3" t="str">
        <f>IF(KysymyksetTaulukko[[#This Row],[Luokka + toimiala]]="Kuuluu","a) Oman vesilaitoksen kysymykset","b) Muut kysymykset")</f>
        <v>b) Muut kysymykset</v>
      </c>
      <c r="K46" s="125" t="s">
        <v>7</v>
      </c>
      <c r="L46" s="9" t="s">
        <v>56</v>
      </c>
      <c r="M46" s="61" t="str">
        <f>LEFT(KysymyksetTaulukko[[#This Row],[Alakategoria_]],2)</f>
        <v>3.</v>
      </c>
      <c r="N46" s="109" t="s">
        <v>11</v>
      </c>
      <c r="O46" s="70" t="s">
        <v>206</v>
      </c>
      <c r="P46" s="67" t="str">
        <f>IF(AND(KysymyksetTaulukko[[#This Row],[Luokka]]="Extra",KysymyksetTaulukko[[#This Row],[Luokka + toimiala]]="Kuuluu"),"Extra","")</f>
        <v/>
      </c>
      <c r="Q46" s="114"/>
      <c r="R46" s="64" t="s">
        <v>59</v>
      </c>
      <c r="S46" s="159"/>
      <c r="T46" s="123">
        <f>IF(AND(KysymyksetTaulukko[[#This Row],[Luokka + toimiala]]="Kuuluu",KysymyksetTaulukko[[#This Row],[Vastaus]]="Kyllä"),1,0)</f>
        <v>0</v>
      </c>
      <c r="U46" s="121">
        <f>IF(AND(KysymyksetTaulukko[[#This Row],[Maksimipisteet]]=1,NOT(ISBLANK(KysymyksetTaulukko[[#This Row],[Vastaus]]))),1,0)</f>
        <v>0</v>
      </c>
      <c r="V46" s="123">
        <f>IF(OR(KysymyksetTaulukko[[#This Row],[Luokka + toimiala]]="Ei kuulu",KysymyksetTaulukko[[#This Row],[Vastaus]]="Ei koske",KysymyksetTaulukko[[#This Row],[Luokka]]="Extra",KysymyksetTaulukko[[#This Row],[Otsikkorivi]]="Kyllä"),0,1)</f>
        <v>0</v>
      </c>
    </row>
    <row r="47" spans="1:22" ht="28.5" x14ac:dyDescent="0.35">
      <c r="A47" s="3" t="s">
        <v>12</v>
      </c>
      <c r="B47" s="3" t="str">
        <f>IF(ISNUMBER(SEARCH("," &amp; LV!$B$10 &amp; ",", "," &amp; SUBSTITUTE(A47, " ", "")&amp; ",")),
  "Kuuluu",
  IF(AND(LV!$B$10&gt;=2,
      LV!$B$10&lt;=4,
      OR(ISNUMBER(SEARCH("," &amp;(LV!$B$10+1)&amp; ",", "," &amp; SUBSTITUTE(A47, " ", "")&amp; ",")),
        ISNUMBER(SEARCH("," &amp;(LV!$B$10+2)&amp; ",", "," &amp; SUBSTITUTE(A47, " ", "")&amp; ",")),
        ISNUMBER(SEARCH("," &amp;(LV!$B$10+3)&amp; ",", "," &amp; SUBSTITUTE(A47, " ", "")&amp; ",")),
        ISNUMBER(SEARCH("," &amp;(LV!$B$10+4)&amp; ",", "," &amp; SUBSTITUTE(A47, " ", "")&amp; ",")),
        ISNUMBER(SEARCH("," &amp;(LV!$B$10+5)&amp; ",", "," &amp; SUBSTITUTE(A47, " ", "")&amp; ",")))),
    "Extra",
    "Ei kuulu"))</f>
        <v>Ei kuulu</v>
      </c>
      <c r="C47" s="3" t="s">
        <v>17</v>
      </c>
      <c r="D47" s="3" t="str">
        <f>IF(ISNUMBER(SEARCH(LV!$I$5, Turvallinen_ja_toimintavarma!C47)), "K", "E")</f>
        <v>E</v>
      </c>
      <c r="E47" s="3" t="str">
        <f>IF(ISNUMBER(SEARCH(LV!$I$6, Turvallinen_ja_toimintavarma!$C47)), "K", "E")</f>
        <v>E</v>
      </c>
      <c r="F47" s="3" t="str">
        <f>IF(ISNUMBER(SEARCH(LV!$I$7, Turvallinen_ja_toimintavarma!$C47)), "K", "E")</f>
        <v>E</v>
      </c>
      <c r="G47" s="3" t="str">
        <f>IF(ISNUMBER(SEARCH(LV!$I$8, Turvallinen_ja_toimintavarma!$C47)), "K", "E")</f>
        <v>E</v>
      </c>
      <c r="H47" s="3" t="str">
        <f>IF(OR(KysymyksetTaulukko[[#This Row],[Toimiala A]]="K",KysymyksetTaulukko[[#This Row],[Toimiala B]]="K",KysymyksetTaulukko[[#This Row],[Toimiala C]]="K",KysymyksetTaulukko[[#This Row],[Toimiala D]]="K"),"Kuuluu","Ei kuulu")</f>
        <v>Ei kuulu</v>
      </c>
      <c r="I47" s="3" t="str">
        <f>IF(OR(KysymyksetTaulukko[[#This Row],[Luokka]]="Ei kuulu",KysymyksetTaulukko[[#This Row],[Toimiala-
kysymys]]="Ei kuulu"), "Ei kuulu", "Kuuluu")</f>
        <v>Ei kuulu</v>
      </c>
      <c r="J47" s="3" t="str">
        <f>IF(KysymyksetTaulukko[[#This Row],[Luokka + toimiala]]="Kuuluu","a) Oman vesilaitoksen kysymykset","b) Muut kysymykset")</f>
        <v>b) Muut kysymykset</v>
      </c>
      <c r="K47" s="125" t="s">
        <v>7</v>
      </c>
      <c r="L47" s="9" t="s">
        <v>56</v>
      </c>
      <c r="M47" s="61" t="str">
        <f>LEFT(KysymyksetTaulukko[[#This Row],[Alakategoria_]],2)</f>
        <v>3.</v>
      </c>
      <c r="N47" s="109" t="s">
        <v>11</v>
      </c>
      <c r="O47" s="70" t="s">
        <v>206</v>
      </c>
      <c r="P47" s="67" t="str">
        <f>IF(AND(KysymyksetTaulukko[[#This Row],[Luokka]]="Extra",KysymyksetTaulukko[[#This Row],[Luokka + toimiala]]="Kuuluu"),"Extra","")</f>
        <v/>
      </c>
      <c r="Q47" s="114"/>
      <c r="R47" s="64" t="s">
        <v>60</v>
      </c>
      <c r="S47" s="159"/>
      <c r="T47" s="123">
        <f>IF(AND(KysymyksetTaulukko[[#This Row],[Luokka + toimiala]]="Kuuluu",KysymyksetTaulukko[[#This Row],[Vastaus]]="Kyllä"),1,0)</f>
        <v>0</v>
      </c>
      <c r="U47" s="121">
        <f>IF(AND(KysymyksetTaulukko[[#This Row],[Maksimipisteet]]=1,NOT(ISBLANK(KysymyksetTaulukko[[#This Row],[Vastaus]]))),1,0)</f>
        <v>0</v>
      </c>
      <c r="V47" s="123">
        <f>IF(OR(KysymyksetTaulukko[[#This Row],[Luokka + toimiala]]="Ei kuulu",KysymyksetTaulukko[[#This Row],[Vastaus]]="Ei koske",KysymyksetTaulukko[[#This Row],[Luokka]]="Extra",KysymyksetTaulukko[[#This Row],[Otsikkorivi]]="Kyllä"),0,1)</f>
        <v>0</v>
      </c>
    </row>
    <row r="48" spans="1:22" ht="43.5" x14ac:dyDescent="0.35">
      <c r="A48" s="3" t="s">
        <v>12</v>
      </c>
      <c r="B48" s="3" t="str">
        <f>IF(ISNUMBER(SEARCH("," &amp; LV!$B$10 &amp; ",", "," &amp; SUBSTITUTE(A48, " ", "")&amp; ",")),
  "Kuuluu",
  IF(AND(LV!$B$10&gt;=2,
      LV!$B$10&lt;=4,
      OR(ISNUMBER(SEARCH("," &amp;(LV!$B$10+1)&amp; ",", "," &amp; SUBSTITUTE(A48, " ", "")&amp; ",")),
        ISNUMBER(SEARCH("," &amp;(LV!$B$10+2)&amp; ",", "," &amp; SUBSTITUTE(A48, " ", "")&amp; ",")),
        ISNUMBER(SEARCH("," &amp;(LV!$B$10+3)&amp; ",", "," &amp; SUBSTITUTE(A48, " ", "")&amp; ",")),
        ISNUMBER(SEARCH("," &amp;(LV!$B$10+4)&amp; ",", "," &amp; SUBSTITUTE(A48, " ", "")&amp; ",")),
        ISNUMBER(SEARCH("," &amp;(LV!$B$10+5)&amp; ",", "," &amp; SUBSTITUTE(A48, " ", "")&amp; ",")))),
    "Extra",
    "Ei kuulu"))</f>
        <v>Ei kuulu</v>
      </c>
      <c r="C48" s="3" t="s">
        <v>17</v>
      </c>
      <c r="D48" s="3" t="str">
        <f>IF(ISNUMBER(SEARCH(LV!$I$5, Turvallinen_ja_toimintavarma!C48)), "K", "E")</f>
        <v>E</v>
      </c>
      <c r="E48" s="3" t="str">
        <f>IF(ISNUMBER(SEARCH(LV!$I$6, Turvallinen_ja_toimintavarma!$C48)), "K", "E")</f>
        <v>E</v>
      </c>
      <c r="F48" s="3" t="str">
        <f>IF(ISNUMBER(SEARCH(LV!$I$7, Turvallinen_ja_toimintavarma!$C48)), "K", "E")</f>
        <v>E</v>
      </c>
      <c r="G48" s="3" t="str">
        <f>IF(ISNUMBER(SEARCH(LV!$I$8, Turvallinen_ja_toimintavarma!$C48)), "K", "E")</f>
        <v>E</v>
      </c>
      <c r="H48" s="3" t="str">
        <f>IF(OR(KysymyksetTaulukko[[#This Row],[Toimiala A]]="K",KysymyksetTaulukko[[#This Row],[Toimiala B]]="K",KysymyksetTaulukko[[#This Row],[Toimiala C]]="K",KysymyksetTaulukko[[#This Row],[Toimiala D]]="K"),"Kuuluu","Ei kuulu")</f>
        <v>Ei kuulu</v>
      </c>
      <c r="I48" s="3" t="str">
        <f>IF(OR(KysymyksetTaulukko[[#This Row],[Luokka]]="Ei kuulu",KysymyksetTaulukko[[#This Row],[Toimiala-
kysymys]]="Ei kuulu"), "Ei kuulu", "Kuuluu")</f>
        <v>Ei kuulu</v>
      </c>
      <c r="J48" s="3" t="str">
        <f>IF(KysymyksetTaulukko[[#This Row],[Luokka + toimiala]]="Kuuluu","a) Oman vesilaitoksen kysymykset","b) Muut kysymykset")</f>
        <v>b) Muut kysymykset</v>
      </c>
      <c r="K48" s="125" t="s">
        <v>7</v>
      </c>
      <c r="L48" s="9" t="s">
        <v>56</v>
      </c>
      <c r="M48" s="61" t="str">
        <f>LEFT(KysymyksetTaulukko[[#This Row],[Alakategoria_]],2)</f>
        <v>3.</v>
      </c>
      <c r="N48" s="109" t="s">
        <v>11</v>
      </c>
      <c r="O48" s="70" t="s">
        <v>206</v>
      </c>
      <c r="P48" s="67" t="str">
        <f>IF(AND(KysymyksetTaulukko[[#This Row],[Luokka]]="Extra",KysymyksetTaulukko[[#This Row],[Luokka + toimiala]]="Kuuluu"),"Extra","")</f>
        <v/>
      </c>
      <c r="Q48" s="114"/>
      <c r="R48" s="64" t="s">
        <v>61</v>
      </c>
      <c r="S48" s="159"/>
      <c r="T48" s="123">
        <f>IF(AND(KysymyksetTaulukko[[#This Row],[Luokka + toimiala]]="Kuuluu",KysymyksetTaulukko[[#This Row],[Vastaus]]="Kyllä"),1,0)</f>
        <v>0</v>
      </c>
      <c r="U48" s="121">
        <f>IF(AND(KysymyksetTaulukko[[#This Row],[Maksimipisteet]]=1,NOT(ISBLANK(KysymyksetTaulukko[[#This Row],[Vastaus]]))),1,0)</f>
        <v>0</v>
      </c>
      <c r="V48" s="123">
        <f>IF(OR(KysymyksetTaulukko[[#This Row],[Luokka + toimiala]]="Ei kuulu",KysymyksetTaulukko[[#This Row],[Vastaus]]="Ei koske",KysymyksetTaulukko[[#This Row],[Luokka]]="Extra",KysymyksetTaulukko[[#This Row],[Otsikkorivi]]="Kyllä"),0,1)</f>
        <v>0</v>
      </c>
    </row>
    <row r="49" spans="1:22" ht="28.5" x14ac:dyDescent="0.35">
      <c r="A49" s="3" t="s">
        <v>12</v>
      </c>
      <c r="B49" s="3" t="str">
        <f>IF(ISNUMBER(SEARCH("," &amp; LV!$B$10 &amp; ",", "," &amp; SUBSTITUTE(A49, " ", "")&amp; ",")),
  "Kuuluu",
  IF(AND(LV!$B$10&gt;=2,
      LV!$B$10&lt;=4,
      OR(ISNUMBER(SEARCH("," &amp;(LV!$B$10+1)&amp; ",", "," &amp; SUBSTITUTE(A49, " ", "")&amp; ",")),
        ISNUMBER(SEARCH("," &amp;(LV!$B$10+2)&amp; ",", "," &amp; SUBSTITUTE(A49, " ", "")&amp; ",")),
        ISNUMBER(SEARCH("," &amp;(LV!$B$10+3)&amp; ",", "," &amp; SUBSTITUTE(A49, " ", "")&amp; ",")),
        ISNUMBER(SEARCH("," &amp;(LV!$B$10+4)&amp; ",", "," &amp; SUBSTITUTE(A49, " ", "")&amp; ",")),
        ISNUMBER(SEARCH("," &amp;(LV!$B$10+5)&amp; ",", "," &amp; SUBSTITUTE(A49, " ", "")&amp; ",")))),
    "Extra",
    "Ei kuulu"))</f>
        <v>Ei kuulu</v>
      </c>
      <c r="C49" s="3" t="s">
        <v>17</v>
      </c>
      <c r="D49" s="3" t="str">
        <f>IF(ISNUMBER(SEARCH(LV!$I$5, Turvallinen_ja_toimintavarma!C49)), "K", "E")</f>
        <v>E</v>
      </c>
      <c r="E49" s="3" t="str">
        <f>IF(ISNUMBER(SEARCH(LV!$I$6, Turvallinen_ja_toimintavarma!$C49)), "K", "E")</f>
        <v>E</v>
      </c>
      <c r="F49" s="3" t="str">
        <f>IF(ISNUMBER(SEARCH(LV!$I$7, Turvallinen_ja_toimintavarma!$C49)), "K", "E")</f>
        <v>E</v>
      </c>
      <c r="G49" s="3" t="str">
        <f>IF(ISNUMBER(SEARCH(LV!$I$8, Turvallinen_ja_toimintavarma!$C49)), "K", "E")</f>
        <v>E</v>
      </c>
      <c r="H49" s="3" t="str">
        <f>IF(OR(KysymyksetTaulukko[[#This Row],[Toimiala A]]="K",KysymyksetTaulukko[[#This Row],[Toimiala B]]="K",KysymyksetTaulukko[[#This Row],[Toimiala C]]="K",KysymyksetTaulukko[[#This Row],[Toimiala D]]="K"),"Kuuluu","Ei kuulu")</f>
        <v>Ei kuulu</v>
      </c>
      <c r="I49" s="3" t="str">
        <f>IF(OR(KysymyksetTaulukko[[#This Row],[Luokka]]="Ei kuulu",KysymyksetTaulukko[[#This Row],[Toimiala-
kysymys]]="Ei kuulu"), "Ei kuulu", "Kuuluu")</f>
        <v>Ei kuulu</v>
      </c>
      <c r="J49" s="3" t="str">
        <f>IF(KysymyksetTaulukko[[#This Row],[Luokka + toimiala]]="Kuuluu","a) Oman vesilaitoksen kysymykset","b) Muut kysymykset")</f>
        <v>b) Muut kysymykset</v>
      </c>
      <c r="K49" s="125" t="s">
        <v>7</v>
      </c>
      <c r="L49" s="9" t="s">
        <v>56</v>
      </c>
      <c r="M49" s="61" t="str">
        <f>LEFT(KysymyksetTaulukko[[#This Row],[Alakategoria_]],2)</f>
        <v>3.</v>
      </c>
      <c r="N49" s="109" t="s">
        <v>11</v>
      </c>
      <c r="O49" s="70" t="s">
        <v>206</v>
      </c>
      <c r="P49" s="67" t="str">
        <f>IF(AND(KysymyksetTaulukko[[#This Row],[Luokka]]="Extra",KysymyksetTaulukko[[#This Row],[Luokka + toimiala]]="Kuuluu"),"Extra","")</f>
        <v/>
      </c>
      <c r="Q49" s="114"/>
      <c r="R49" s="64" t="s">
        <v>62</v>
      </c>
      <c r="S49" s="159"/>
      <c r="T49" s="123">
        <f>IF(AND(KysymyksetTaulukko[[#This Row],[Luokka + toimiala]]="Kuuluu",KysymyksetTaulukko[[#This Row],[Vastaus]]="Kyllä"),1,0)</f>
        <v>0</v>
      </c>
      <c r="U49" s="121">
        <f>IF(AND(KysymyksetTaulukko[[#This Row],[Maksimipisteet]]=1,NOT(ISBLANK(KysymyksetTaulukko[[#This Row],[Vastaus]]))),1,0)</f>
        <v>0</v>
      </c>
      <c r="V49" s="123">
        <f>IF(OR(KysymyksetTaulukko[[#This Row],[Luokka + toimiala]]="Ei kuulu",KysymyksetTaulukko[[#This Row],[Vastaus]]="Ei koske",KysymyksetTaulukko[[#This Row],[Luokka]]="Extra",KysymyksetTaulukko[[#This Row],[Otsikkorivi]]="Kyllä"),0,1)</f>
        <v>0</v>
      </c>
    </row>
    <row r="50" spans="1:22" ht="29" x14ac:dyDescent="0.35">
      <c r="A50" s="3" t="s">
        <v>12</v>
      </c>
      <c r="B50" s="3" t="str">
        <f>IF(ISNUMBER(SEARCH("," &amp; LV!$B$10 &amp; ",", "," &amp; SUBSTITUTE(A50, " ", "")&amp; ",")),
  "Kuuluu",
  IF(AND(LV!$B$10&gt;=2,
      LV!$B$10&lt;=4,
      OR(ISNUMBER(SEARCH("," &amp;(LV!$B$10+1)&amp; ",", "," &amp; SUBSTITUTE(A50, " ", "")&amp; ",")),
        ISNUMBER(SEARCH("," &amp;(LV!$B$10+2)&amp; ",", "," &amp; SUBSTITUTE(A50, " ", "")&amp; ",")),
        ISNUMBER(SEARCH("," &amp;(LV!$B$10+3)&amp; ",", "," &amp; SUBSTITUTE(A50, " ", "")&amp; ",")),
        ISNUMBER(SEARCH("," &amp;(LV!$B$10+4)&amp; ",", "," &amp; SUBSTITUTE(A50, " ", "")&amp; ",")),
        ISNUMBER(SEARCH("," &amp;(LV!$B$10+5)&amp; ",", "," &amp; SUBSTITUTE(A50, " ", "")&amp; ",")))),
    "Extra",
    "Ei kuulu"))</f>
        <v>Ei kuulu</v>
      </c>
      <c r="C50" s="3" t="s">
        <v>17</v>
      </c>
      <c r="D50" s="3" t="str">
        <f>IF(ISNUMBER(SEARCH(LV!$I$5, Turvallinen_ja_toimintavarma!C50)), "K", "E")</f>
        <v>E</v>
      </c>
      <c r="E50" s="3" t="str">
        <f>IF(ISNUMBER(SEARCH(LV!$I$6, Turvallinen_ja_toimintavarma!$C50)), "K", "E")</f>
        <v>E</v>
      </c>
      <c r="F50" s="3" t="str">
        <f>IF(ISNUMBER(SEARCH(LV!$I$7, Turvallinen_ja_toimintavarma!$C50)), "K", "E")</f>
        <v>E</v>
      </c>
      <c r="G50" s="3" t="str">
        <f>IF(ISNUMBER(SEARCH(LV!$I$8, Turvallinen_ja_toimintavarma!$C50)), "K", "E")</f>
        <v>E</v>
      </c>
      <c r="H50" s="3" t="str">
        <f>IF(OR(KysymyksetTaulukko[[#This Row],[Toimiala A]]="K",KysymyksetTaulukko[[#This Row],[Toimiala B]]="K",KysymyksetTaulukko[[#This Row],[Toimiala C]]="K",KysymyksetTaulukko[[#This Row],[Toimiala D]]="K"),"Kuuluu","Ei kuulu")</f>
        <v>Ei kuulu</v>
      </c>
      <c r="I50" s="3" t="str">
        <f>IF(OR(KysymyksetTaulukko[[#This Row],[Luokka]]="Ei kuulu",KysymyksetTaulukko[[#This Row],[Toimiala-
kysymys]]="Ei kuulu"), "Ei kuulu", "Kuuluu")</f>
        <v>Ei kuulu</v>
      </c>
      <c r="J50" s="3" t="str">
        <f>IF(KysymyksetTaulukko[[#This Row],[Luokka + toimiala]]="Kuuluu","a) Oman vesilaitoksen kysymykset","b) Muut kysymykset")</f>
        <v>b) Muut kysymykset</v>
      </c>
      <c r="K50" s="125" t="s">
        <v>7</v>
      </c>
      <c r="L50" s="9" t="s">
        <v>56</v>
      </c>
      <c r="M50" s="61" t="str">
        <f>LEFT(KysymyksetTaulukko[[#This Row],[Alakategoria_]],2)</f>
        <v>3.</v>
      </c>
      <c r="N50" s="109" t="s">
        <v>11</v>
      </c>
      <c r="O50" s="70" t="s">
        <v>206</v>
      </c>
      <c r="P50" s="67" t="str">
        <f>IF(AND(KysymyksetTaulukko[[#This Row],[Luokka]]="Extra",KysymyksetTaulukko[[#This Row],[Luokka + toimiala]]="Kuuluu"),"Extra","")</f>
        <v/>
      </c>
      <c r="Q50" s="114"/>
      <c r="R50" s="64" t="s">
        <v>63</v>
      </c>
      <c r="S50" s="159"/>
      <c r="T50" s="123">
        <f>IF(AND(KysymyksetTaulukko[[#This Row],[Luokka + toimiala]]="Kuuluu",KysymyksetTaulukko[[#This Row],[Vastaus]]="Kyllä"),1,0)</f>
        <v>0</v>
      </c>
      <c r="U50" s="121">
        <f>IF(AND(KysymyksetTaulukko[[#This Row],[Maksimipisteet]]=1,NOT(ISBLANK(KysymyksetTaulukko[[#This Row],[Vastaus]]))),1,0)</f>
        <v>0</v>
      </c>
      <c r="V50" s="123">
        <f>IF(OR(KysymyksetTaulukko[[#This Row],[Luokka + toimiala]]="Ei kuulu",KysymyksetTaulukko[[#This Row],[Vastaus]]="Ei koske",KysymyksetTaulukko[[#This Row],[Luokka]]="Extra",KysymyksetTaulukko[[#This Row],[Otsikkorivi]]="Kyllä"),0,1)</f>
        <v>0</v>
      </c>
    </row>
    <row r="51" spans="1:22" ht="29" x14ac:dyDescent="0.35">
      <c r="A51" s="3" t="s">
        <v>12</v>
      </c>
      <c r="B51" s="3" t="str">
        <f>IF(ISNUMBER(SEARCH("," &amp; LV!$B$10 &amp; ",", "," &amp; SUBSTITUTE(A51, " ", "")&amp; ",")),
  "Kuuluu",
  IF(AND(LV!$B$10&gt;=2,
      LV!$B$10&lt;=4,
      OR(ISNUMBER(SEARCH("," &amp;(LV!$B$10+1)&amp; ",", "," &amp; SUBSTITUTE(A51, " ", "")&amp; ",")),
        ISNUMBER(SEARCH("," &amp;(LV!$B$10+2)&amp; ",", "," &amp; SUBSTITUTE(A51, " ", "")&amp; ",")),
        ISNUMBER(SEARCH("," &amp;(LV!$B$10+3)&amp; ",", "," &amp; SUBSTITUTE(A51, " ", "")&amp; ",")),
        ISNUMBER(SEARCH("," &amp;(LV!$B$10+4)&amp; ",", "," &amp; SUBSTITUTE(A51, " ", "")&amp; ",")),
        ISNUMBER(SEARCH("," &amp;(LV!$B$10+5)&amp; ",", "," &amp; SUBSTITUTE(A51, " ", "")&amp; ",")))),
    "Extra",
    "Ei kuulu"))</f>
        <v>Ei kuulu</v>
      </c>
      <c r="C51" s="3" t="s">
        <v>28</v>
      </c>
      <c r="D51" s="3" t="str">
        <f>IF(ISNUMBER(SEARCH(LV!$I$5, Turvallinen_ja_toimintavarma!C51)), "K", "E")</f>
        <v>E</v>
      </c>
      <c r="E51" s="3" t="str">
        <f>IF(ISNUMBER(SEARCH(LV!$I$6, Turvallinen_ja_toimintavarma!$C51)), "K", "E")</f>
        <v>E</v>
      </c>
      <c r="F51" s="3" t="str">
        <f>IF(ISNUMBER(SEARCH(LV!$I$7, Turvallinen_ja_toimintavarma!$C51)), "K", "E")</f>
        <v>E</v>
      </c>
      <c r="G51" s="3" t="str">
        <f>IF(ISNUMBER(SEARCH(LV!$I$8, Turvallinen_ja_toimintavarma!$C51)), "K", "E")</f>
        <v>E</v>
      </c>
      <c r="H51" s="3" t="str">
        <f>IF(OR(KysymyksetTaulukko[[#This Row],[Toimiala A]]="K",KysymyksetTaulukko[[#This Row],[Toimiala B]]="K",KysymyksetTaulukko[[#This Row],[Toimiala C]]="K",KysymyksetTaulukko[[#This Row],[Toimiala D]]="K"),"Kuuluu","Ei kuulu")</f>
        <v>Ei kuulu</v>
      </c>
      <c r="I51" s="3" t="str">
        <f>IF(OR(KysymyksetTaulukko[[#This Row],[Luokka]]="Ei kuulu",KysymyksetTaulukko[[#This Row],[Toimiala-
kysymys]]="Ei kuulu"), "Ei kuulu", "Kuuluu")</f>
        <v>Ei kuulu</v>
      </c>
      <c r="J51" s="3" t="str">
        <f>IF(KysymyksetTaulukko[[#This Row],[Luokka + toimiala]]="Kuuluu","a) Oman vesilaitoksen kysymykset","b) Muut kysymykset")</f>
        <v>b) Muut kysymykset</v>
      </c>
      <c r="K51" s="125" t="s">
        <v>7</v>
      </c>
      <c r="L51" s="9" t="s">
        <v>56</v>
      </c>
      <c r="M51" s="61" t="str">
        <f>LEFT(KysymyksetTaulukko[[#This Row],[Alakategoria_]],2)</f>
        <v>3.</v>
      </c>
      <c r="N51" s="109" t="s">
        <v>11</v>
      </c>
      <c r="O51" s="70" t="s">
        <v>206</v>
      </c>
      <c r="P51" s="67" t="str">
        <f>IF(AND(KysymyksetTaulukko[[#This Row],[Luokka]]="Extra",KysymyksetTaulukko[[#This Row],[Luokka + toimiala]]="Kuuluu"),"Extra","")</f>
        <v/>
      </c>
      <c r="Q51" s="114"/>
      <c r="R51" s="64" t="s">
        <v>64</v>
      </c>
      <c r="S51" s="159"/>
      <c r="T51" s="123">
        <f>IF(AND(KysymyksetTaulukko[[#This Row],[Luokka + toimiala]]="Kuuluu",KysymyksetTaulukko[[#This Row],[Vastaus]]="Kyllä"),1,0)</f>
        <v>0</v>
      </c>
      <c r="U51" s="121">
        <f>IF(AND(KysymyksetTaulukko[[#This Row],[Maksimipisteet]]=1,NOT(ISBLANK(KysymyksetTaulukko[[#This Row],[Vastaus]]))),1,0)</f>
        <v>0</v>
      </c>
      <c r="V51" s="123">
        <f>IF(OR(KysymyksetTaulukko[[#This Row],[Luokka + toimiala]]="Ei kuulu",KysymyksetTaulukko[[#This Row],[Vastaus]]="Ei koske",KysymyksetTaulukko[[#This Row],[Luokka]]="Extra",KysymyksetTaulukko[[#This Row],[Otsikkorivi]]="Kyllä"),0,1)</f>
        <v>0</v>
      </c>
    </row>
    <row r="52" spans="1:22" ht="28.5" x14ac:dyDescent="0.35">
      <c r="A52" s="3" t="s">
        <v>12</v>
      </c>
      <c r="B52" s="3" t="str">
        <f>IF(ISNUMBER(SEARCH("," &amp; LV!$B$10 &amp; ",", "," &amp; SUBSTITUTE(A52, " ", "")&amp; ",")),
  "Kuuluu",
  IF(AND(LV!$B$10&gt;=2,
      LV!$B$10&lt;=4,
      OR(ISNUMBER(SEARCH("," &amp;(LV!$B$10+1)&amp; ",", "," &amp; SUBSTITUTE(A52, " ", "")&amp; ",")),
        ISNUMBER(SEARCH("," &amp;(LV!$B$10+2)&amp; ",", "," &amp; SUBSTITUTE(A52, " ", "")&amp; ",")),
        ISNUMBER(SEARCH("," &amp;(LV!$B$10+3)&amp; ",", "," &amp; SUBSTITUTE(A52, " ", "")&amp; ",")),
        ISNUMBER(SEARCH("," &amp;(LV!$B$10+4)&amp; ",", "," &amp; SUBSTITUTE(A52, " ", "")&amp; ",")),
        ISNUMBER(SEARCH("," &amp;(LV!$B$10+5)&amp; ",", "," &amp; SUBSTITUTE(A52, " ", "")&amp; ",")))),
    "Extra",
    "Ei kuulu"))</f>
        <v>Ei kuulu</v>
      </c>
      <c r="C52" s="3" t="s">
        <v>17</v>
      </c>
      <c r="D52" s="3" t="str">
        <f>IF(ISNUMBER(SEARCH(LV!$I$5, Turvallinen_ja_toimintavarma!C52)), "K", "E")</f>
        <v>E</v>
      </c>
      <c r="E52" s="3" t="str">
        <f>IF(ISNUMBER(SEARCH(LV!$I$6, Turvallinen_ja_toimintavarma!$C52)), "K", "E")</f>
        <v>E</v>
      </c>
      <c r="F52" s="3" t="str">
        <f>IF(ISNUMBER(SEARCH(LV!$I$7, Turvallinen_ja_toimintavarma!$C52)), "K", "E")</f>
        <v>E</v>
      </c>
      <c r="G52" s="3" t="str">
        <f>IF(ISNUMBER(SEARCH(LV!$I$8, Turvallinen_ja_toimintavarma!$C52)), "K", "E")</f>
        <v>E</v>
      </c>
      <c r="H52" s="3" t="str">
        <f>IF(OR(KysymyksetTaulukko[[#This Row],[Toimiala A]]="K",KysymyksetTaulukko[[#This Row],[Toimiala B]]="K",KysymyksetTaulukko[[#This Row],[Toimiala C]]="K",KysymyksetTaulukko[[#This Row],[Toimiala D]]="K"),"Kuuluu","Ei kuulu")</f>
        <v>Ei kuulu</v>
      </c>
      <c r="I52" s="3" t="str">
        <f>IF(OR(KysymyksetTaulukko[[#This Row],[Luokka]]="Ei kuulu",KysymyksetTaulukko[[#This Row],[Toimiala-
kysymys]]="Ei kuulu"), "Ei kuulu", "Kuuluu")</f>
        <v>Ei kuulu</v>
      </c>
      <c r="J52" s="3" t="str">
        <f>IF(KysymyksetTaulukko[[#This Row],[Luokka + toimiala]]="Kuuluu","a) Oman vesilaitoksen kysymykset","b) Muut kysymykset")</f>
        <v>b) Muut kysymykset</v>
      </c>
      <c r="K52" s="125" t="s">
        <v>7</v>
      </c>
      <c r="L52" s="9" t="s">
        <v>56</v>
      </c>
      <c r="M52" s="61" t="str">
        <f>LEFT(KysymyksetTaulukko[[#This Row],[Alakategoria_]],2)</f>
        <v>3.</v>
      </c>
      <c r="N52" s="109" t="s">
        <v>11</v>
      </c>
      <c r="O52" s="70" t="s">
        <v>206</v>
      </c>
      <c r="P52" s="67" t="str">
        <f>IF(AND(KysymyksetTaulukko[[#This Row],[Luokka]]="Extra",KysymyksetTaulukko[[#This Row],[Luokka + toimiala]]="Kuuluu"),"Extra","")</f>
        <v/>
      </c>
      <c r="Q52" s="114"/>
      <c r="R52" s="64" t="s">
        <v>65</v>
      </c>
      <c r="S52" s="159"/>
      <c r="T52" s="123">
        <f>IF(AND(KysymyksetTaulukko[[#This Row],[Luokka + toimiala]]="Kuuluu",KysymyksetTaulukko[[#This Row],[Vastaus]]="Kyllä"),1,0)</f>
        <v>0</v>
      </c>
      <c r="U52" s="121">
        <f>IF(AND(KysymyksetTaulukko[[#This Row],[Maksimipisteet]]=1,NOT(ISBLANK(KysymyksetTaulukko[[#This Row],[Vastaus]]))),1,0)</f>
        <v>0</v>
      </c>
      <c r="V52" s="123">
        <f>IF(OR(KysymyksetTaulukko[[#This Row],[Luokka + toimiala]]="Ei kuulu",KysymyksetTaulukko[[#This Row],[Vastaus]]="Ei koske",KysymyksetTaulukko[[#This Row],[Luokka]]="Extra",KysymyksetTaulukko[[#This Row],[Otsikkorivi]]="Kyllä"),0,1)</f>
        <v>0</v>
      </c>
    </row>
    <row r="53" spans="1:22" ht="28.5" x14ac:dyDescent="0.35">
      <c r="A53" s="3" t="s">
        <v>12</v>
      </c>
      <c r="B53" s="3" t="str">
        <f>IF(ISNUMBER(SEARCH("," &amp; LV!$B$10 &amp; ",", "," &amp; SUBSTITUTE(A53, " ", "")&amp; ",")),
  "Kuuluu",
  IF(AND(LV!$B$10&gt;=2,
      LV!$B$10&lt;=4,
      OR(ISNUMBER(SEARCH("," &amp;(LV!$B$10+1)&amp; ",", "," &amp; SUBSTITUTE(A53, " ", "")&amp; ",")),
        ISNUMBER(SEARCH("," &amp;(LV!$B$10+2)&amp; ",", "," &amp; SUBSTITUTE(A53, " ", "")&amp; ",")),
        ISNUMBER(SEARCH("," &amp;(LV!$B$10+3)&amp; ",", "," &amp; SUBSTITUTE(A53, " ", "")&amp; ",")),
        ISNUMBER(SEARCH("," &amp;(LV!$B$10+4)&amp; ",", "," &amp; SUBSTITUTE(A53, " ", "")&amp; ",")),
        ISNUMBER(SEARCH("," &amp;(LV!$B$10+5)&amp; ",", "," &amp; SUBSTITUTE(A53, " ", "")&amp; ",")))),
    "Extra",
    "Ei kuulu"))</f>
        <v>Ei kuulu</v>
      </c>
      <c r="C53" s="3" t="s">
        <v>17</v>
      </c>
      <c r="D53" s="3" t="str">
        <f>IF(ISNUMBER(SEARCH(LV!$I$5, Turvallinen_ja_toimintavarma!C53)), "K", "E")</f>
        <v>E</v>
      </c>
      <c r="E53" s="3" t="str">
        <f>IF(ISNUMBER(SEARCH(LV!$I$6, Turvallinen_ja_toimintavarma!$C53)), "K", "E")</f>
        <v>E</v>
      </c>
      <c r="F53" s="3" t="str">
        <f>IF(ISNUMBER(SEARCH(LV!$I$7, Turvallinen_ja_toimintavarma!$C53)), "K", "E")</f>
        <v>E</v>
      </c>
      <c r="G53" s="3" t="str">
        <f>IF(ISNUMBER(SEARCH(LV!$I$8, Turvallinen_ja_toimintavarma!$C53)), "K", "E")</f>
        <v>E</v>
      </c>
      <c r="H53" s="3" t="str">
        <f>IF(OR(KysymyksetTaulukko[[#This Row],[Toimiala A]]="K",KysymyksetTaulukko[[#This Row],[Toimiala B]]="K",KysymyksetTaulukko[[#This Row],[Toimiala C]]="K",KysymyksetTaulukko[[#This Row],[Toimiala D]]="K"),"Kuuluu","Ei kuulu")</f>
        <v>Ei kuulu</v>
      </c>
      <c r="I53" s="3" t="str">
        <f>IF(OR(KysymyksetTaulukko[[#This Row],[Luokka]]="Ei kuulu",KysymyksetTaulukko[[#This Row],[Toimiala-
kysymys]]="Ei kuulu"), "Ei kuulu", "Kuuluu")</f>
        <v>Ei kuulu</v>
      </c>
      <c r="J53" s="3" t="str">
        <f>IF(KysymyksetTaulukko[[#This Row],[Luokka + toimiala]]="Kuuluu","a) Oman vesilaitoksen kysymykset","b) Muut kysymykset")</f>
        <v>b) Muut kysymykset</v>
      </c>
      <c r="K53" s="125" t="s">
        <v>7</v>
      </c>
      <c r="L53" s="9" t="s">
        <v>56</v>
      </c>
      <c r="M53" s="61" t="str">
        <f>LEFT(KysymyksetTaulukko[[#This Row],[Alakategoria_]],2)</f>
        <v>3.</v>
      </c>
      <c r="N53" s="109" t="s">
        <v>11</v>
      </c>
      <c r="O53" s="70" t="s">
        <v>206</v>
      </c>
      <c r="P53" s="67" t="str">
        <f>IF(AND(KysymyksetTaulukko[[#This Row],[Luokka]]="Extra",KysymyksetTaulukko[[#This Row],[Luokka + toimiala]]="Kuuluu"),"Extra","")</f>
        <v/>
      </c>
      <c r="Q53" s="114"/>
      <c r="R53" s="64" t="s">
        <v>67</v>
      </c>
      <c r="S53" s="159"/>
      <c r="T53" s="123">
        <f>IF(AND(KysymyksetTaulukko[[#This Row],[Luokka + toimiala]]="Kuuluu",KysymyksetTaulukko[[#This Row],[Vastaus]]="Kyllä"),1,0)</f>
        <v>0</v>
      </c>
      <c r="U53" s="121">
        <f>IF(AND(KysymyksetTaulukko[[#This Row],[Maksimipisteet]]=1,NOT(ISBLANK(KysymyksetTaulukko[[#This Row],[Vastaus]]))),1,0)</f>
        <v>0</v>
      </c>
      <c r="V53" s="123">
        <f>IF(OR(KysymyksetTaulukko[[#This Row],[Luokka + toimiala]]="Ei kuulu",KysymyksetTaulukko[[#This Row],[Vastaus]]="Ei koske",KysymyksetTaulukko[[#This Row],[Luokka]]="Extra",KysymyksetTaulukko[[#This Row],[Otsikkorivi]]="Kyllä"),0,1)</f>
        <v>0</v>
      </c>
    </row>
    <row r="54" spans="1:22" ht="28.5" x14ac:dyDescent="0.35">
      <c r="A54" s="3" t="s">
        <v>12</v>
      </c>
      <c r="B54" s="3" t="str">
        <f>IF(ISNUMBER(SEARCH("," &amp; LV!$B$10 &amp; ",", "," &amp; SUBSTITUTE(A54, " ", "")&amp; ",")),
  "Kuuluu",
  IF(AND(LV!$B$10&gt;=2,
      LV!$B$10&lt;=4,
      OR(ISNUMBER(SEARCH("," &amp;(LV!$B$10+1)&amp; ",", "," &amp; SUBSTITUTE(A54, " ", "")&amp; ",")),
        ISNUMBER(SEARCH("," &amp;(LV!$B$10+2)&amp; ",", "," &amp; SUBSTITUTE(A54, " ", "")&amp; ",")),
        ISNUMBER(SEARCH("," &amp;(LV!$B$10+3)&amp; ",", "," &amp; SUBSTITUTE(A54, " ", "")&amp; ",")),
        ISNUMBER(SEARCH("," &amp;(LV!$B$10+4)&amp; ",", "," &amp; SUBSTITUTE(A54, " ", "")&amp; ",")),
        ISNUMBER(SEARCH("," &amp;(LV!$B$10+5)&amp; ",", "," &amp; SUBSTITUTE(A54, " ", "")&amp; ",")))),
    "Extra",
    "Ei kuulu"))</f>
        <v>Ei kuulu</v>
      </c>
      <c r="C54" s="3" t="s">
        <v>28</v>
      </c>
      <c r="D54" s="3" t="str">
        <f>IF(ISNUMBER(SEARCH(LV!$I$5, Turvallinen_ja_toimintavarma!C54)), "K", "E")</f>
        <v>E</v>
      </c>
      <c r="E54" s="3" t="str">
        <f>IF(ISNUMBER(SEARCH(LV!$I$6, Turvallinen_ja_toimintavarma!$C54)), "K", "E")</f>
        <v>E</v>
      </c>
      <c r="F54" s="3" t="str">
        <f>IF(ISNUMBER(SEARCH(LV!$I$7, Turvallinen_ja_toimintavarma!$C54)), "K", "E")</f>
        <v>E</v>
      </c>
      <c r="G54" s="3" t="str">
        <f>IF(ISNUMBER(SEARCH(LV!$I$8, Turvallinen_ja_toimintavarma!$C54)), "K", "E")</f>
        <v>E</v>
      </c>
      <c r="H54" s="3" t="str">
        <f>IF(OR(KysymyksetTaulukko[[#This Row],[Toimiala A]]="K",KysymyksetTaulukko[[#This Row],[Toimiala B]]="K",KysymyksetTaulukko[[#This Row],[Toimiala C]]="K",KysymyksetTaulukko[[#This Row],[Toimiala D]]="K"),"Kuuluu","Ei kuulu")</f>
        <v>Ei kuulu</v>
      </c>
      <c r="I54" s="3" t="str">
        <f>IF(OR(KysymyksetTaulukko[[#This Row],[Luokka]]="Ei kuulu",KysymyksetTaulukko[[#This Row],[Toimiala-
kysymys]]="Ei kuulu"), "Ei kuulu", "Kuuluu")</f>
        <v>Ei kuulu</v>
      </c>
      <c r="J54" s="3" t="str">
        <f>IF(KysymyksetTaulukko[[#This Row],[Luokka + toimiala]]="Kuuluu","a) Oman vesilaitoksen kysymykset","b) Muut kysymykset")</f>
        <v>b) Muut kysymykset</v>
      </c>
      <c r="K54" s="125" t="s">
        <v>7</v>
      </c>
      <c r="L54" s="9" t="s">
        <v>56</v>
      </c>
      <c r="M54" s="61" t="str">
        <f>LEFT(KysymyksetTaulukko[[#This Row],[Alakategoria_]],2)</f>
        <v>3.</v>
      </c>
      <c r="N54" s="109" t="s">
        <v>11</v>
      </c>
      <c r="O54" s="70" t="s">
        <v>206</v>
      </c>
      <c r="P54" s="67" t="str">
        <f>IF(AND(KysymyksetTaulukko[[#This Row],[Luokka]]="Extra",KysymyksetTaulukko[[#This Row],[Luokka + toimiala]]="Kuuluu"),"Extra","")</f>
        <v/>
      </c>
      <c r="Q54" s="114"/>
      <c r="R54" s="64" t="s">
        <v>68</v>
      </c>
      <c r="S54" s="159"/>
      <c r="T54" s="123">
        <f>IF(AND(KysymyksetTaulukko[[#This Row],[Luokka + toimiala]]="Kuuluu",KysymyksetTaulukko[[#This Row],[Vastaus]]="Kyllä"),1,0)</f>
        <v>0</v>
      </c>
      <c r="U54" s="121">
        <f>IF(AND(KysymyksetTaulukko[[#This Row],[Maksimipisteet]]=1,NOT(ISBLANK(KysymyksetTaulukko[[#This Row],[Vastaus]]))),1,0)</f>
        <v>0</v>
      </c>
      <c r="V54" s="123">
        <f>IF(OR(KysymyksetTaulukko[[#This Row],[Luokka + toimiala]]="Ei kuulu",KysymyksetTaulukko[[#This Row],[Vastaus]]="Ei koske",KysymyksetTaulukko[[#This Row],[Luokka]]="Extra",KysymyksetTaulukko[[#This Row],[Otsikkorivi]]="Kyllä"),0,1)</f>
        <v>0</v>
      </c>
    </row>
    <row r="55" spans="1:22" ht="29" x14ac:dyDescent="0.35">
      <c r="A55" s="3" t="s">
        <v>40</v>
      </c>
      <c r="B55" s="3" t="str">
        <f>IF(ISNUMBER(SEARCH("," &amp; LV!$B$10 &amp; ",", "," &amp; SUBSTITUTE(A55, " ", "")&amp; ",")),
  "Kuuluu",
  IF(AND(LV!$B$10&gt;=2,
      LV!$B$10&lt;=4,
      OR(ISNUMBER(SEARCH("," &amp;(LV!$B$10+1)&amp; ",", "," &amp; SUBSTITUTE(A55, " ", "")&amp; ",")),
        ISNUMBER(SEARCH("," &amp;(LV!$B$10+2)&amp; ",", "," &amp; SUBSTITUTE(A55, " ", "")&amp; ",")),
        ISNUMBER(SEARCH("," &amp;(LV!$B$10+3)&amp; ",", "," &amp; SUBSTITUTE(A55, " ", "")&amp; ",")),
        ISNUMBER(SEARCH("," &amp;(LV!$B$10+4)&amp; ",", "," &amp; SUBSTITUTE(A55, " ", "")&amp; ",")),
        ISNUMBER(SEARCH("," &amp;(LV!$B$10+5)&amp; ",", "," &amp; SUBSTITUTE(A55, " ", "")&amp; ",")))),
    "Extra",
    "Ei kuulu"))</f>
        <v>Ei kuulu</v>
      </c>
      <c r="C55" s="3" t="s">
        <v>17</v>
      </c>
      <c r="D55" s="3" t="str">
        <f>IF(ISNUMBER(SEARCH(LV!$I$5, Turvallinen_ja_toimintavarma!C55)), "K", "E")</f>
        <v>E</v>
      </c>
      <c r="E55" s="3" t="str">
        <f>IF(ISNUMBER(SEARCH(LV!$I$6, Turvallinen_ja_toimintavarma!$C55)), "K", "E")</f>
        <v>E</v>
      </c>
      <c r="F55" s="3" t="str">
        <f>IF(ISNUMBER(SEARCH(LV!$I$7, Turvallinen_ja_toimintavarma!$C55)), "K", "E")</f>
        <v>E</v>
      </c>
      <c r="G55" s="3" t="str">
        <f>IF(ISNUMBER(SEARCH(LV!$I$8, Turvallinen_ja_toimintavarma!$C55)), "K", "E")</f>
        <v>E</v>
      </c>
      <c r="H55" s="3" t="str">
        <f>IF(OR(KysymyksetTaulukko[[#This Row],[Toimiala A]]="K",KysymyksetTaulukko[[#This Row],[Toimiala B]]="K",KysymyksetTaulukko[[#This Row],[Toimiala C]]="K",KysymyksetTaulukko[[#This Row],[Toimiala D]]="K"),"Kuuluu","Ei kuulu")</f>
        <v>Ei kuulu</v>
      </c>
      <c r="I55" s="3" t="str">
        <f>IF(OR(KysymyksetTaulukko[[#This Row],[Luokka]]="Ei kuulu",KysymyksetTaulukko[[#This Row],[Toimiala-
kysymys]]="Ei kuulu"), "Ei kuulu", "Kuuluu")</f>
        <v>Ei kuulu</v>
      </c>
      <c r="J55" s="3" t="str">
        <f>IF(KysymyksetTaulukko[[#This Row],[Luokka + toimiala]]="Kuuluu","a) Oman vesilaitoksen kysymykset","b) Muut kysymykset")</f>
        <v>b) Muut kysymykset</v>
      </c>
      <c r="K55" s="125" t="s">
        <v>7</v>
      </c>
      <c r="L55" s="9" t="s">
        <v>56</v>
      </c>
      <c r="M55" s="61" t="str">
        <f>LEFT(KysymyksetTaulukko[[#This Row],[Alakategoria_]],2)</f>
        <v>3.</v>
      </c>
      <c r="N55" s="109" t="s">
        <v>11</v>
      </c>
      <c r="O55" s="70" t="s">
        <v>206</v>
      </c>
      <c r="P55" s="67" t="str">
        <f>IF(AND(KysymyksetTaulukko[[#This Row],[Luokka]]="Extra",KysymyksetTaulukko[[#This Row],[Luokka + toimiala]]="Kuuluu"),"Extra","")</f>
        <v/>
      </c>
      <c r="Q55" s="114"/>
      <c r="R55" s="64" t="s">
        <v>69</v>
      </c>
      <c r="S55" s="159"/>
      <c r="T55" s="123">
        <f>IF(AND(KysymyksetTaulukko[[#This Row],[Luokka + toimiala]]="Kuuluu",KysymyksetTaulukko[[#This Row],[Vastaus]]="Kyllä"),1,0)</f>
        <v>0</v>
      </c>
      <c r="U55" s="121">
        <f>IF(AND(KysymyksetTaulukko[[#This Row],[Maksimipisteet]]=1,NOT(ISBLANK(KysymyksetTaulukko[[#This Row],[Vastaus]]))),1,0)</f>
        <v>0</v>
      </c>
      <c r="V55" s="123">
        <f>IF(OR(KysymyksetTaulukko[[#This Row],[Luokka + toimiala]]="Ei kuulu",KysymyksetTaulukko[[#This Row],[Vastaus]]="Ei koske",KysymyksetTaulukko[[#This Row],[Luokka]]="Extra",KysymyksetTaulukko[[#This Row],[Otsikkorivi]]="Kyllä"),0,1)</f>
        <v>0</v>
      </c>
    </row>
    <row r="56" spans="1:22" ht="28.5" x14ac:dyDescent="0.35">
      <c r="A56" s="3" t="s">
        <v>6</v>
      </c>
      <c r="B56" s="3" t="str">
        <f>IF(ISNUMBER(SEARCH("," &amp; LV!$B$10 &amp; ",", "," &amp; SUBSTITUTE(A56, " ", "")&amp; ",")),
  "Kuuluu",
  IF(AND(LV!$B$10&gt;=2,
      LV!$B$10&lt;=4,
      OR(ISNUMBER(SEARCH("," &amp;(LV!$B$10+1)&amp; ",", "," &amp; SUBSTITUTE(A56, " ", "")&amp; ",")),
        ISNUMBER(SEARCH("," &amp;(LV!$B$10+2)&amp; ",", "," &amp; SUBSTITUTE(A56, " ", "")&amp; ",")),
        ISNUMBER(SEARCH("," &amp;(LV!$B$10+3)&amp; ",", "," &amp; SUBSTITUTE(A56, " ", "")&amp; ",")),
        ISNUMBER(SEARCH("," &amp;(LV!$B$10+4)&amp; ",", "," &amp; SUBSTITUTE(A56, " ", "")&amp; ",")),
        ISNUMBER(SEARCH("," &amp;(LV!$B$10+5)&amp; ",", "," &amp; SUBSTITUTE(A56, " ", "")&amp; ",")))),
    "Extra",
    "Ei kuulu"))</f>
        <v>Ei kuulu</v>
      </c>
      <c r="C56" s="3" t="s">
        <v>28</v>
      </c>
      <c r="D56" s="3" t="str">
        <f>IF(ISNUMBER(SEARCH(LV!$I$5, Turvallinen_ja_toimintavarma!C56)), "K", "E")</f>
        <v>E</v>
      </c>
      <c r="E56" s="3" t="str">
        <f>IF(ISNUMBER(SEARCH(LV!$I$6, Turvallinen_ja_toimintavarma!$C56)), "K", "E")</f>
        <v>E</v>
      </c>
      <c r="F56" s="3" t="str">
        <f>IF(ISNUMBER(SEARCH(LV!$I$7, Turvallinen_ja_toimintavarma!$C56)), "K", "E")</f>
        <v>E</v>
      </c>
      <c r="G56" s="3" t="str">
        <f>IF(ISNUMBER(SEARCH(LV!$I$8, Turvallinen_ja_toimintavarma!$C56)), "K", "E")</f>
        <v>E</v>
      </c>
      <c r="H56" s="3" t="str">
        <f>IF(OR(KysymyksetTaulukko[[#This Row],[Toimiala A]]="K",KysymyksetTaulukko[[#This Row],[Toimiala B]]="K",KysymyksetTaulukko[[#This Row],[Toimiala C]]="K",KysymyksetTaulukko[[#This Row],[Toimiala D]]="K"),"Kuuluu","Ei kuulu")</f>
        <v>Ei kuulu</v>
      </c>
      <c r="I56" s="3" t="str">
        <f>IF(OR(KysymyksetTaulukko[[#This Row],[Luokka]]="Ei kuulu",KysymyksetTaulukko[[#This Row],[Toimiala-
kysymys]]="Ei kuulu"), "Ei kuulu", "Kuuluu")</f>
        <v>Ei kuulu</v>
      </c>
      <c r="J56" s="3" t="str">
        <f>IF(KysymyksetTaulukko[[#This Row],[Luokka + toimiala]]="Kuuluu","a) Oman vesilaitoksen kysymykset","b) Muut kysymykset")</f>
        <v>b) Muut kysymykset</v>
      </c>
      <c r="K56" s="125" t="s">
        <v>7</v>
      </c>
      <c r="L56" s="9" t="s">
        <v>241</v>
      </c>
      <c r="M56" s="61" t="str">
        <f>LEFT(KysymyksetTaulukko[[#This Row],[Alakategoria_]],2)</f>
        <v>_O</v>
      </c>
      <c r="N56" s="107"/>
      <c r="O56" s="70"/>
      <c r="P56" s="67" t="str">
        <f>IF(AND(KysymyksetTaulukko[[#This Row],[Luokka]]="Extra",KysymyksetTaulukko[[#This Row],[Luokka + toimiala]]="Kuuluu"),"Extra","")</f>
        <v/>
      </c>
      <c r="Q56" s="114" t="s">
        <v>177</v>
      </c>
      <c r="R56" s="128" t="s">
        <v>70</v>
      </c>
      <c r="S56" s="158"/>
      <c r="T56" s="123">
        <f>IF(AND(KysymyksetTaulukko[[#This Row],[Luokka + toimiala]]="Kuuluu",KysymyksetTaulukko[[#This Row],[Vastaus]]="Kyllä"),1,0)</f>
        <v>0</v>
      </c>
      <c r="U56" s="121">
        <f>IF(AND(KysymyksetTaulukko[[#This Row],[Maksimipisteet]]=1,NOT(ISBLANK(KysymyksetTaulukko[[#This Row],[Vastaus]]))),1,0)</f>
        <v>0</v>
      </c>
      <c r="V56" s="123">
        <f>IF(OR(KysymyksetTaulukko[[#This Row],[Luokka + toimiala]]="Ei kuulu",KysymyksetTaulukko[[#This Row],[Vastaus]]="Ei koske",KysymyksetTaulukko[[#This Row],[Luokka]]="Extra",KysymyksetTaulukko[[#This Row],[Otsikkorivi]]="Kyllä"),0,1)</f>
        <v>0</v>
      </c>
    </row>
    <row r="57" spans="1:22" ht="28.5" x14ac:dyDescent="0.35">
      <c r="A57" s="3" t="s">
        <v>12</v>
      </c>
      <c r="B57" s="3" t="str">
        <f>IF(ISNUMBER(SEARCH("," &amp; LV!$B$10 &amp; ",", "," &amp; SUBSTITUTE(A57, " ", "")&amp; ",")),
  "Kuuluu",
  IF(AND(LV!$B$10&gt;=2,
      LV!$B$10&lt;=4,
      OR(ISNUMBER(SEARCH("," &amp;(LV!$B$10+1)&amp; ",", "," &amp; SUBSTITUTE(A57, " ", "")&amp; ",")),
        ISNUMBER(SEARCH("," &amp;(LV!$B$10+2)&amp; ",", "," &amp; SUBSTITUTE(A57, " ", "")&amp; ",")),
        ISNUMBER(SEARCH("," &amp;(LV!$B$10+3)&amp; ",", "," &amp; SUBSTITUTE(A57, " ", "")&amp; ",")),
        ISNUMBER(SEARCH("," &amp;(LV!$B$10+4)&amp; ",", "," &amp; SUBSTITUTE(A57, " ", "")&amp; ",")),
        ISNUMBER(SEARCH("," &amp;(LV!$B$10+5)&amp; ",", "," &amp; SUBSTITUTE(A57, " ", "")&amp; ",")))),
    "Extra",
    "Ei kuulu"))</f>
        <v>Ei kuulu</v>
      </c>
      <c r="C57" s="3" t="s">
        <v>28</v>
      </c>
      <c r="D57" s="3" t="str">
        <f>IF(ISNUMBER(SEARCH(LV!$I$5, Turvallinen_ja_toimintavarma!C57)), "K", "E")</f>
        <v>E</v>
      </c>
      <c r="E57" s="3" t="str">
        <f>IF(ISNUMBER(SEARCH(LV!$I$6, Turvallinen_ja_toimintavarma!$C57)), "K", "E")</f>
        <v>E</v>
      </c>
      <c r="F57" s="3" t="str">
        <f>IF(ISNUMBER(SEARCH(LV!$I$7, Turvallinen_ja_toimintavarma!$C57)), "K", "E")</f>
        <v>E</v>
      </c>
      <c r="G57" s="3" t="str">
        <f>IF(ISNUMBER(SEARCH(LV!$I$8, Turvallinen_ja_toimintavarma!$C57)), "K", "E")</f>
        <v>E</v>
      </c>
      <c r="H57" s="3" t="str">
        <f>IF(OR(KysymyksetTaulukko[[#This Row],[Toimiala A]]="K",KysymyksetTaulukko[[#This Row],[Toimiala B]]="K",KysymyksetTaulukko[[#This Row],[Toimiala C]]="K",KysymyksetTaulukko[[#This Row],[Toimiala D]]="K"),"Kuuluu","Ei kuulu")</f>
        <v>Ei kuulu</v>
      </c>
      <c r="I57" s="3" t="str">
        <f>IF(OR(KysymyksetTaulukko[[#This Row],[Luokka]]="Ei kuulu",KysymyksetTaulukko[[#This Row],[Toimiala-
kysymys]]="Ei kuulu"), "Ei kuulu", "Kuuluu")</f>
        <v>Ei kuulu</v>
      </c>
      <c r="J57" s="3" t="str">
        <f>IF(KysymyksetTaulukko[[#This Row],[Luokka + toimiala]]="Kuuluu","a) Oman vesilaitoksen kysymykset","b) Muut kysymykset")</f>
        <v>b) Muut kysymykset</v>
      </c>
      <c r="K57" s="125" t="s">
        <v>7</v>
      </c>
      <c r="L57" s="9" t="s">
        <v>70</v>
      </c>
      <c r="M57" s="61" t="str">
        <f>LEFT(KysymyksetTaulukko[[#This Row],[Alakategoria_]],2)</f>
        <v>4.</v>
      </c>
      <c r="N57" s="107" t="s">
        <v>11</v>
      </c>
      <c r="O57" s="70" t="s">
        <v>206</v>
      </c>
      <c r="P57" s="67" t="str">
        <f>IF(AND(KysymyksetTaulukko[[#This Row],[Luokka]]="Extra",KysymyksetTaulukko[[#This Row],[Luokka + toimiala]]="Kuuluu"),"Extra","")</f>
        <v/>
      </c>
      <c r="Q57" s="114"/>
      <c r="R57" s="64" t="s">
        <v>71</v>
      </c>
      <c r="S57" s="159"/>
      <c r="T57" s="123">
        <f>IF(AND(KysymyksetTaulukko[[#This Row],[Luokka + toimiala]]="Kuuluu",KysymyksetTaulukko[[#This Row],[Vastaus]]="Kyllä"),1,0)</f>
        <v>0</v>
      </c>
      <c r="U57" s="121">
        <f>IF(AND(KysymyksetTaulukko[[#This Row],[Maksimipisteet]]=1,NOT(ISBLANK(KysymyksetTaulukko[[#This Row],[Vastaus]]))),1,0)</f>
        <v>0</v>
      </c>
      <c r="V57" s="123">
        <f>IF(OR(KysymyksetTaulukko[[#This Row],[Luokka + toimiala]]="Ei kuulu",KysymyksetTaulukko[[#This Row],[Vastaus]]="Ei koske",KysymyksetTaulukko[[#This Row],[Luokka]]="Extra",KysymyksetTaulukko[[#This Row],[Otsikkorivi]]="Kyllä"),0,1)</f>
        <v>0</v>
      </c>
    </row>
    <row r="58" spans="1:22" ht="28.5" x14ac:dyDescent="0.35">
      <c r="A58" s="3" t="s">
        <v>12</v>
      </c>
      <c r="B58" s="3" t="str">
        <f>IF(ISNUMBER(SEARCH("," &amp; LV!$B$10 &amp; ",", "," &amp; SUBSTITUTE(A58, " ", "")&amp; ",")),
  "Kuuluu",
  IF(AND(LV!$B$10&gt;=2,
      LV!$B$10&lt;=4,
      OR(ISNUMBER(SEARCH("," &amp;(LV!$B$10+1)&amp; ",", "," &amp; SUBSTITUTE(A58, " ", "")&amp; ",")),
        ISNUMBER(SEARCH("," &amp;(LV!$B$10+2)&amp; ",", "," &amp; SUBSTITUTE(A58, " ", "")&amp; ",")),
        ISNUMBER(SEARCH("," &amp;(LV!$B$10+3)&amp; ",", "," &amp; SUBSTITUTE(A58, " ", "")&amp; ",")),
        ISNUMBER(SEARCH("," &amp;(LV!$B$10+4)&amp; ",", "," &amp; SUBSTITUTE(A58, " ", "")&amp; ",")),
        ISNUMBER(SEARCH("," &amp;(LV!$B$10+5)&amp; ",", "," &amp; SUBSTITUTE(A58, " ", "")&amp; ",")))),
    "Extra",
    "Ei kuulu"))</f>
        <v>Ei kuulu</v>
      </c>
      <c r="C58" s="3" t="s">
        <v>28</v>
      </c>
      <c r="D58" s="3" t="str">
        <f>IF(ISNUMBER(SEARCH(LV!$I$5, Turvallinen_ja_toimintavarma!C58)), "K", "E")</f>
        <v>E</v>
      </c>
      <c r="E58" s="3" t="str">
        <f>IF(ISNUMBER(SEARCH(LV!$I$6, Turvallinen_ja_toimintavarma!$C58)), "K", "E")</f>
        <v>E</v>
      </c>
      <c r="F58" s="3" t="str">
        <f>IF(ISNUMBER(SEARCH(LV!$I$7, Turvallinen_ja_toimintavarma!$C58)), "K", "E")</f>
        <v>E</v>
      </c>
      <c r="G58" s="3" t="str">
        <f>IF(ISNUMBER(SEARCH(LV!$I$8, Turvallinen_ja_toimintavarma!$C58)), "K", "E")</f>
        <v>E</v>
      </c>
      <c r="H58" s="3" t="str">
        <f>IF(OR(KysymyksetTaulukko[[#This Row],[Toimiala A]]="K",KysymyksetTaulukko[[#This Row],[Toimiala B]]="K",KysymyksetTaulukko[[#This Row],[Toimiala C]]="K",KysymyksetTaulukko[[#This Row],[Toimiala D]]="K"),"Kuuluu","Ei kuulu")</f>
        <v>Ei kuulu</v>
      </c>
      <c r="I58" s="3" t="str">
        <f>IF(OR(KysymyksetTaulukko[[#This Row],[Luokka]]="Ei kuulu",KysymyksetTaulukko[[#This Row],[Toimiala-
kysymys]]="Ei kuulu"), "Ei kuulu", "Kuuluu")</f>
        <v>Ei kuulu</v>
      </c>
      <c r="J58" s="3" t="str">
        <f>IF(KysymyksetTaulukko[[#This Row],[Luokka + toimiala]]="Kuuluu","a) Oman vesilaitoksen kysymykset","b) Muut kysymykset")</f>
        <v>b) Muut kysymykset</v>
      </c>
      <c r="K58" s="125" t="s">
        <v>7</v>
      </c>
      <c r="L58" s="9" t="s">
        <v>70</v>
      </c>
      <c r="M58" s="61" t="str">
        <f>LEFT(KysymyksetTaulukko[[#This Row],[Alakategoria_]],2)</f>
        <v>4.</v>
      </c>
      <c r="N58" s="107" t="s">
        <v>11</v>
      </c>
      <c r="O58" s="70" t="s">
        <v>206</v>
      </c>
      <c r="P58" s="67" t="str">
        <f>IF(AND(KysymyksetTaulukko[[#This Row],[Luokka]]="Extra",KysymyksetTaulukko[[#This Row],[Luokka + toimiala]]="Kuuluu"),"Extra","")</f>
        <v/>
      </c>
      <c r="Q58" s="114"/>
      <c r="R58" s="64" t="s">
        <v>72</v>
      </c>
      <c r="S58" s="159"/>
      <c r="T58" s="123">
        <f>IF(AND(KysymyksetTaulukko[[#This Row],[Luokka + toimiala]]="Kuuluu",KysymyksetTaulukko[[#This Row],[Vastaus]]="Kyllä"),1,0)</f>
        <v>0</v>
      </c>
      <c r="U58" s="121">
        <f>IF(AND(KysymyksetTaulukko[[#This Row],[Maksimipisteet]]=1,NOT(ISBLANK(KysymyksetTaulukko[[#This Row],[Vastaus]]))),1,0)</f>
        <v>0</v>
      </c>
      <c r="V58" s="123">
        <f>IF(OR(KysymyksetTaulukko[[#This Row],[Luokka + toimiala]]="Ei kuulu",KysymyksetTaulukko[[#This Row],[Vastaus]]="Ei koske",KysymyksetTaulukko[[#This Row],[Luokka]]="Extra",KysymyksetTaulukko[[#This Row],[Otsikkorivi]]="Kyllä"),0,1)</f>
        <v>0</v>
      </c>
    </row>
    <row r="59" spans="1:22" ht="28.5" x14ac:dyDescent="0.35">
      <c r="A59" s="3" t="s">
        <v>19</v>
      </c>
      <c r="B59" s="3" t="str">
        <f>IF(ISNUMBER(SEARCH("," &amp; LV!$B$10 &amp; ",", "," &amp; SUBSTITUTE(A59, " ", "")&amp; ",")),
  "Kuuluu",
  IF(AND(LV!$B$10&gt;=2,
      LV!$B$10&lt;=4,
      OR(ISNUMBER(SEARCH("," &amp;(LV!$B$10+1)&amp; ",", "," &amp; SUBSTITUTE(A59, " ", "")&amp; ",")),
        ISNUMBER(SEARCH("," &amp;(LV!$B$10+2)&amp; ",", "," &amp; SUBSTITUTE(A59, " ", "")&amp; ",")),
        ISNUMBER(SEARCH("," &amp;(LV!$B$10+3)&amp; ",", "," &amp; SUBSTITUTE(A59, " ", "")&amp; ",")),
        ISNUMBER(SEARCH("," &amp;(LV!$B$10+4)&amp; ",", "," &amp; SUBSTITUTE(A59, " ", "")&amp; ",")),
        ISNUMBER(SEARCH("," &amp;(LV!$B$10+5)&amp; ",", "," &amp; SUBSTITUTE(A59, " ", "")&amp; ",")))),
    "Extra",
    "Ei kuulu"))</f>
        <v>Ei kuulu</v>
      </c>
      <c r="C59" s="3" t="s">
        <v>28</v>
      </c>
      <c r="D59" s="3" t="str">
        <f>IF(ISNUMBER(SEARCH(LV!$I$5, Turvallinen_ja_toimintavarma!C59)), "K", "E")</f>
        <v>E</v>
      </c>
      <c r="E59" s="3" t="str">
        <f>IF(ISNUMBER(SEARCH(LV!$I$6, Turvallinen_ja_toimintavarma!$C59)), "K", "E")</f>
        <v>E</v>
      </c>
      <c r="F59" s="3" t="str">
        <f>IF(ISNUMBER(SEARCH(LV!$I$7, Turvallinen_ja_toimintavarma!$C59)), "K", "E")</f>
        <v>E</v>
      </c>
      <c r="G59" s="3" t="str">
        <f>IF(ISNUMBER(SEARCH(LV!$I$8, Turvallinen_ja_toimintavarma!$C59)), "K", "E")</f>
        <v>E</v>
      </c>
      <c r="H59" s="3" t="str">
        <f>IF(OR(KysymyksetTaulukko[[#This Row],[Toimiala A]]="K",KysymyksetTaulukko[[#This Row],[Toimiala B]]="K",KysymyksetTaulukko[[#This Row],[Toimiala C]]="K",KysymyksetTaulukko[[#This Row],[Toimiala D]]="K"),"Kuuluu","Ei kuulu")</f>
        <v>Ei kuulu</v>
      </c>
      <c r="I59" s="3" t="str">
        <f>IF(OR(KysymyksetTaulukko[[#This Row],[Luokka]]="Ei kuulu",KysymyksetTaulukko[[#This Row],[Toimiala-
kysymys]]="Ei kuulu"), "Ei kuulu", "Kuuluu")</f>
        <v>Ei kuulu</v>
      </c>
      <c r="J59" s="3" t="str">
        <f>IF(KysymyksetTaulukko[[#This Row],[Luokka + toimiala]]="Kuuluu","a) Oman vesilaitoksen kysymykset","b) Muut kysymykset")</f>
        <v>b) Muut kysymykset</v>
      </c>
      <c r="K59" s="125" t="s">
        <v>7</v>
      </c>
      <c r="L59" s="9" t="s">
        <v>70</v>
      </c>
      <c r="M59" s="61" t="str">
        <f>LEFT(KysymyksetTaulukko[[#This Row],[Alakategoria_]],2)</f>
        <v>4.</v>
      </c>
      <c r="N59" s="107" t="s">
        <v>11</v>
      </c>
      <c r="O59" s="70" t="s">
        <v>206</v>
      </c>
      <c r="P59" s="67" t="str">
        <f>IF(AND(KysymyksetTaulukko[[#This Row],[Luokka]]="Extra",KysymyksetTaulukko[[#This Row],[Luokka + toimiala]]="Kuuluu"),"Extra","")</f>
        <v/>
      </c>
      <c r="Q59" s="114"/>
      <c r="R59" s="64" t="s">
        <v>73</v>
      </c>
      <c r="S59" s="159"/>
      <c r="T59" s="123">
        <f>IF(AND(KysymyksetTaulukko[[#This Row],[Luokka + toimiala]]="Kuuluu",KysymyksetTaulukko[[#This Row],[Vastaus]]="Kyllä"),1,0)</f>
        <v>0</v>
      </c>
      <c r="U59" s="121">
        <f>IF(AND(KysymyksetTaulukko[[#This Row],[Maksimipisteet]]=1,NOT(ISBLANK(KysymyksetTaulukko[[#This Row],[Vastaus]]))),1,0)</f>
        <v>0</v>
      </c>
      <c r="V59" s="123">
        <f>IF(OR(KysymyksetTaulukko[[#This Row],[Luokka + toimiala]]="Ei kuulu",KysymyksetTaulukko[[#This Row],[Vastaus]]="Ei koske",KysymyksetTaulukko[[#This Row],[Luokka]]="Extra",KysymyksetTaulukko[[#This Row],[Otsikkorivi]]="Kyllä"),0,1)</f>
        <v>0</v>
      </c>
    </row>
    <row r="60" spans="1:22" ht="28.5" x14ac:dyDescent="0.35">
      <c r="A60" s="3">
        <v>3.4</v>
      </c>
      <c r="B60" s="3" t="str">
        <f>IF(ISNUMBER(SEARCH("," &amp; LV!$B$10 &amp; ",", "," &amp; SUBSTITUTE(A60, " ", "")&amp; ",")),
  "Kuuluu",
  IF(AND(LV!$B$10&gt;=2,
      LV!$B$10&lt;=4,
      OR(ISNUMBER(SEARCH("," &amp;(LV!$B$10+1)&amp; ",", "," &amp; SUBSTITUTE(A60, " ", "")&amp; ",")),
        ISNUMBER(SEARCH("," &amp;(LV!$B$10+2)&amp; ",", "," &amp; SUBSTITUTE(A60, " ", "")&amp; ",")),
        ISNUMBER(SEARCH("," &amp;(LV!$B$10+3)&amp; ",", "," &amp; SUBSTITUTE(A60, " ", "")&amp; ",")),
        ISNUMBER(SEARCH("," &amp;(LV!$B$10+4)&amp; ",", "," &amp; SUBSTITUTE(A60, " ", "")&amp; ",")),
        ISNUMBER(SEARCH("," &amp;(LV!$B$10+5)&amp; ",", "," &amp; SUBSTITUTE(A60, " ", "")&amp; ",")))),
    "Extra",
    "Ei kuulu"))</f>
        <v>Ei kuulu</v>
      </c>
      <c r="C60" s="3" t="s">
        <v>28</v>
      </c>
      <c r="D60" s="3" t="str">
        <f>IF(ISNUMBER(SEARCH(LV!$I$5, Turvallinen_ja_toimintavarma!C60)), "K", "E")</f>
        <v>E</v>
      </c>
      <c r="E60" s="3" t="str">
        <f>IF(ISNUMBER(SEARCH(LV!$I$6, Turvallinen_ja_toimintavarma!$C60)), "K", "E")</f>
        <v>E</v>
      </c>
      <c r="F60" s="3" t="str">
        <f>IF(ISNUMBER(SEARCH(LV!$I$7, Turvallinen_ja_toimintavarma!$C60)), "K", "E")</f>
        <v>E</v>
      </c>
      <c r="G60" s="3" t="str">
        <f>IF(ISNUMBER(SEARCH(LV!$I$8, Turvallinen_ja_toimintavarma!$C60)), "K", "E")</f>
        <v>E</v>
      </c>
      <c r="H60" s="3" t="str">
        <f>IF(OR(KysymyksetTaulukko[[#This Row],[Toimiala A]]="K",KysymyksetTaulukko[[#This Row],[Toimiala B]]="K",KysymyksetTaulukko[[#This Row],[Toimiala C]]="K",KysymyksetTaulukko[[#This Row],[Toimiala D]]="K"),"Kuuluu","Ei kuulu")</f>
        <v>Ei kuulu</v>
      </c>
      <c r="I60" s="3" t="str">
        <f>IF(OR(KysymyksetTaulukko[[#This Row],[Luokka]]="Ei kuulu",KysymyksetTaulukko[[#This Row],[Toimiala-
kysymys]]="Ei kuulu"), "Ei kuulu", "Kuuluu")</f>
        <v>Ei kuulu</v>
      </c>
      <c r="J60" s="3" t="str">
        <f>IF(KysymyksetTaulukko[[#This Row],[Luokka + toimiala]]="Kuuluu","a) Oman vesilaitoksen kysymykset","b) Muut kysymykset")</f>
        <v>b) Muut kysymykset</v>
      </c>
      <c r="K60" s="125" t="s">
        <v>7</v>
      </c>
      <c r="L60" s="9" t="s">
        <v>70</v>
      </c>
      <c r="M60" s="61" t="str">
        <f>LEFT(KysymyksetTaulukko[[#This Row],[Alakategoria_]],2)</f>
        <v>4.</v>
      </c>
      <c r="N60" s="107" t="s">
        <v>11</v>
      </c>
      <c r="O60" s="70" t="s">
        <v>206</v>
      </c>
      <c r="P60" s="67" t="str">
        <f>IF(AND(KysymyksetTaulukko[[#This Row],[Luokka]]="Extra",KysymyksetTaulukko[[#This Row],[Luokka + toimiala]]="Kuuluu"),"Extra","")</f>
        <v/>
      </c>
      <c r="Q60" s="114"/>
      <c r="R60" s="64" t="s">
        <v>74</v>
      </c>
      <c r="S60" s="159"/>
      <c r="T60" s="123">
        <f>IF(AND(KysymyksetTaulukko[[#This Row],[Luokka + toimiala]]="Kuuluu",KysymyksetTaulukko[[#This Row],[Vastaus]]="Kyllä"),1,0)</f>
        <v>0</v>
      </c>
      <c r="U60" s="121">
        <f>IF(AND(KysymyksetTaulukko[[#This Row],[Maksimipisteet]]=1,NOT(ISBLANK(KysymyksetTaulukko[[#This Row],[Vastaus]]))),1,0)</f>
        <v>0</v>
      </c>
      <c r="V60" s="123">
        <f>IF(OR(KysymyksetTaulukko[[#This Row],[Luokka + toimiala]]="Ei kuulu",KysymyksetTaulukko[[#This Row],[Vastaus]]="Ei koske",KysymyksetTaulukko[[#This Row],[Luokka]]="Extra",KysymyksetTaulukko[[#This Row],[Otsikkorivi]]="Kyllä"),0,1)</f>
        <v>0</v>
      </c>
    </row>
    <row r="61" spans="1:22" ht="29" x14ac:dyDescent="0.35">
      <c r="A61" s="3" t="s">
        <v>12</v>
      </c>
      <c r="B61" s="3" t="str">
        <f>IF(ISNUMBER(SEARCH("," &amp; LV!$B$10 &amp; ",", "," &amp; SUBSTITUTE(A61, " ", "")&amp; ",")),
  "Kuuluu",
  IF(AND(LV!$B$10&gt;=2,
      LV!$B$10&lt;=4,
      OR(ISNUMBER(SEARCH("," &amp;(LV!$B$10+1)&amp; ",", "," &amp; SUBSTITUTE(A61, " ", "")&amp; ",")),
        ISNUMBER(SEARCH("," &amp;(LV!$B$10+2)&amp; ",", "," &amp; SUBSTITUTE(A61, " ", "")&amp; ",")),
        ISNUMBER(SEARCH("," &amp;(LV!$B$10+3)&amp; ",", "," &amp; SUBSTITUTE(A61, " ", "")&amp; ",")),
        ISNUMBER(SEARCH("," &amp;(LV!$B$10+4)&amp; ",", "," &amp; SUBSTITUTE(A61, " ", "")&amp; ",")),
        ISNUMBER(SEARCH("," &amp;(LV!$B$10+5)&amp; ",", "," &amp; SUBSTITUTE(A61, " ", "")&amp; ",")))),
    "Extra",
    "Ei kuulu"))</f>
        <v>Ei kuulu</v>
      </c>
      <c r="C61" s="3" t="s">
        <v>28</v>
      </c>
      <c r="D61" s="3" t="str">
        <f>IF(ISNUMBER(SEARCH(LV!$I$5, Turvallinen_ja_toimintavarma!C61)), "K", "E")</f>
        <v>E</v>
      </c>
      <c r="E61" s="3" t="str">
        <f>IF(ISNUMBER(SEARCH(LV!$I$6, Turvallinen_ja_toimintavarma!$C61)), "K", "E")</f>
        <v>E</v>
      </c>
      <c r="F61" s="3" t="str">
        <f>IF(ISNUMBER(SEARCH(LV!$I$7, Turvallinen_ja_toimintavarma!$C61)), "K", "E")</f>
        <v>E</v>
      </c>
      <c r="G61" s="3" t="str">
        <f>IF(ISNUMBER(SEARCH(LV!$I$8, Turvallinen_ja_toimintavarma!$C61)), "K", "E")</f>
        <v>E</v>
      </c>
      <c r="H61" s="3" t="str">
        <f>IF(OR(KysymyksetTaulukko[[#This Row],[Toimiala A]]="K",KysymyksetTaulukko[[#This Row],[Toimiala B]]="K",KysymyksetTaulukko[[#This Row],[Toimiala C]]="K",KysymyksetTaulukko[[#This Row],[Toimiala D]]="K"),"Kuuluu","Ei kuulu")</f>
        <v>Ei kuulu</v>
      </c>
      <c r="I61" s="3" t="str">
        <f>IF(OR(KysymyksetTaulukko[[#This Row],[Luokka]]="Ei kuulu",KysymyksetTaulukko[[#This Row],[Toimiala-
kysymys]]="Ei kuulu"), "Ei kuulu", "Kuuluu")</f>
        <v>Ei kuulu</v>
      </c>
      <c r="J61" s="3" t="str">
        <f>IF(KysymyksetTaulukko[[#This Row],[Luokka + toimiala]]="Kuuluu","a) Oman vesilaitoksen kysymykset","b) Muut kysymykset")</f>
        <v>b) Muut kysymykset</v>
      </c>
      <c r="K61" s="125" t="s">
        <v>7</v>
      </c>
      <c r="L61" s="9" t="s">
        <v>70</v>
      </c>
      <c r="M61" s="61" t="str">
        <f>LEFT(KysymyksetTaulukko[[#This Row],[Alakategoria_]],2)</f>
        <v>4.</v>
      </c>
      <c r="N61" s="107" t="s">
        <v>11</v>
      </c>
      <c r="O61" s="70" t="s">
        <v>206</v>
      </c>
      <c r="P61" s="67" t="str">
        <f>IF(AND(KysymyksetTaulukko[[#This Row],[Luokka]]="Extra",KysymyksetTaulukko[[#This Row],[Luokka + toimiala]]="Kuuluu"),"Extra","")</f>
        <v/>
      </c>
      <c r="Q61" s="114"/>
      <c r="R61" s="64" t="s">
        <v>75</v>
      </c>
      <c r="S61" s="159"/>
      <c r="T61" s="123">
        <f>IF(AND(KysymyksetTaulukko[[#This Row],[Luokka + toimiala]]="Kuuluu",KysymyksetTaulukko[[#This Row],[Vastaus]]="Kyllä"),1,0)</f>
        <v>0</v>
      </c>
      <c r="U61" s="121">
        <f>IF(AND(KysymyksetTaulukko[[#This Row],[Maksimipisteet]]=1,NOT(ISBLANK(KysymyksetTaulukko[[#This Row],[Vastaus]]))),1,0)</f>
        <v>0</v>
      </c>
      <c r="V61" s="123">
        <f>IF(OR(KysymyksetTaulukko[[#This Row],[Luokka + toimiala]]="Ei kuulu",KysymyksetTaulukko[[#This Row],[Vastaus]]="Ei koske",KysymyksetTaulukko[[#This Row],[Luokka]]="Extra",KysymyksetTaulukko[[#This Row],[Otsikkorivi]]="Kyllä"),0,1)</f>
        <v>0</v>
      </c>
    </row>
    <row r="62" spans="1:22" ht="28.5" x14ac:dyDescent="0.35">
      <c r="A62" s="3" t="s">
        <v>12</v>
      </c>
      <c r="B62" s="3" t="str">
        <f>IF(ISNUMBER(SEARCH("," &amp; LV!$B$10 &amp; ",", "," &amp; SUBSTITUTE(A62, " ", "")&amp; ",")),
  "Kuuluu",
  IF(AND(LV!$B$10&gt;=2,
      LV!$B$10&lt;=4,
      OR(ISNUMBER(SEARCH("," &amp;(LV!$B$10+1)&amp; ",", "," &amp; SUBSTITUTE(A62, " ", "")&amp; ",")),
        ISNUMBER(SEARCH("," &amp;(LV!$B$10+2)&amp; ",", "," &amp; SUBSTITUTE(A62, " ", "")&amp; ",")),
        ISNUMBER(SEARCH("," &amp;(LV!$B$10+3)&amp; ",", "," &amp; SUBSTITUTE(A62, " ", "")&amp; ",")),
        ISNUMBER(SEARCH("," &amp;(LV!$B$10+4)&amp; ",", "," &amp; SUBSTITUTE(A62, " ", "")&amp; ",")),
        ISNUMBER(SEARCH("," &amp;(LV!$B$10+5)&amp; ",", "," &amp; SUBSTITUTE(A62, " ", "")&amp; ",")))),
    "Extra",
    "Ei kuulu"))</f>
        <v>Ei kuulu</v>
      </c>
      <c r="C62" s="3" t="s">
        <v>28</v>
      </c>
      <c r="D62" s="3" t="str">
        <f>IF(ISNUMBER(SEARCH(LV!$I$5, Turvallinen_ja_toimintavarma!C62)), "K", "E")</f>
        <v>E</v>
      </c>
      <c r="E62" s="3" t="str">
        <f>IF(ISNUMBER(SEARCH(LV!$I$6, Turvallinen_ja_toimintavarma!$C62)), "K", "E")</f>
        <v>E</v>
      </c>
      <c r="F62" s="3" t="str">
        <f>IF(ISNUMBER(SEARCH(LV!$I$7, Turvallinen_ja_toimintavarma!$C62)), "K", "E")</f>
        <v>E</v>
      </c>
      <c r="G62" s="3" t="str">
        <f>IF(ISNUMBER(SEARCH(LV!$I$8, Turvallinen_ja_toimintavarma!$C62)), "K", "E")</f>
        <v>E</v>
      </c>
      <c r="H62" s="3" t="str">
        <f>IF(OR(KysymyksetTaulukko[[#This Row],[Toimiala A]]="K",KysymyksetTaulukko[[#This Row],[Toimiala B]]="K",KysymyksetTaulukko[[#This Row],[Toimiala C]]="K",KysymyksetTaulukko[[#This Row],[Toimiala D]]="K"),"Kuuluu","Ei kuulu")</f>
        <v>Ei kuulu</v>
      </c>
      <c r="I62" s="3" t="str">
        <f>IF(OR(KysymyksetTaulukko[[#This Row],[Luokka]]="Ei kuulu",KysymyksetTaulukko[[#This Row],[Toimiala-
kysymys]]="Ei kuulu"), "Ei kuulu", "Kuuluu")</f>
        <v>Ei kuulu</v>
      </c>
      <c r="J62" s="3" t="str">
        <f>IF(KysymyksetTaulukko[[#This Row],[Luokka + toimiala]]="Kuuluu","a) Oman vesilaitoksen kysymykset","b) Muut kysymykset")</f>
        <v>b) Muut kysymykset</v>
      </c>
      <c r="K62" s="125" t="s">
        <v>7</v>
      </c>
      <c r="L62" s="9" t="s">
        <v>70</v>
      </c>
      <c r="M62" s="61" t="str">
        <f>LEFT(KysymyksetTaulukko[[#This Row],[Alakategoria_]],2)</f>
        <v>4.</v>
      </c>
      <c r="N62" s="107" t="s">
        <v>11</v>
      </c>
      <c r="O62" s="70" t="s">
        <v>206</v>
      </c>
      <c r="P62" s="67" t="str">
        <f>IF(AND(KysymyksetTaulukko[[#This Row],[Luokka]]="Extra",KysymyksetTaulukko[[#This Row],[Luokka + toimiala]]="Kuuluu"),"Extra","")</f>
        <v/>
      </c>
      <c r="Q62" s="114"/>
      <c r="R62" s="64" t="s">
        <v>76</v>
      </c>
      <c r="S62" s="159"/>
      <c r="T62" s="123">
        <f>IF(AND(KysymyksetTaulukko[[#This Row],[Luokka + toimiala]]="Kuuluu",KysymyksetTaulukko[[#This Row],[Vastaus]]="Kyllä"),1,0)</f>
        <v>0</v>
      </c>
      <c r="U62" s="121">
        <f>IF(AND(KysymyksetTaulukko[[#This Row],[Maksimipisteet]]=1,NOT(ISBLANK(KysymyksetTaulukko[[#This Row],[Vastaus]]))),1,0)</f>
        <v>0</v>
      </c>
      <c r="V62" s="123">
        <f>IF(OR(KysymyksetTaulukko[[#This Row],[Luokka + toimiala]]="Ei kuulu",KysymyksetTaulukko[[#This Row],[Vastaus]]="Ei koske",KysymyksetTaulukko[[#This Row],[Luokka]]="Extra",KysymyksetTaulukko[[#This Row],[Otsikkorivi]]="Kyllä"),0,1)</f>
        <v>0</v>
      </c>
    </row>
    <row r="63" spans="1:22" ht="28.5" x14ac:dyDescent="0.35">
      <c r="A63" s="3" t="s">
        <v>12</v>
      </c>
      <c r="B63" s="3" t="str">
        <f>IF(ISNUMBER(SEARCH("," &amp; LV!$B$10 &amp; ",", "," &amp; SUBSTITUTE(A63, " ", "")&amp; ",")),
  "Kuuluu",
  IF(AND(LV!$B$10&gt;=2,
      LV!$B$10&lt;=4,
      OR(ISNUMBER(SEARCH("," &amp;(LV!$B$10+1)&amp; ",", "," &amp; SUBSTITUTE(A63, " ", "")&amp; ",")),
        ISNUMBER(SEARCH("," &amp;(LV!$B$10+2)&amp; ",", "," &amp; SUBSTITUTE(A63, " ", "")&amp; ",")),
        ISNUMBER(SEARCH("," &amp;(LV!$B$10+3)&amp; ",", "," &amp; SUBSTITUTE(A63, " ", "")&amp; ",")),
        ISNUMBER(SEARCH("," &amp;(LV!$B$10+4)&amp; ",", "," &amp; SUBSTITUTE(A63, " ", "")&amp; ",")),
        ISNUMBER(SEARCH("," &amp;(LV!$B$10+5)&amp; ",", "," &amp; SUBSTITUTE(A63, " ", "")&amp; ",")))),
    "Extra",
    "Ei kuulu"))</f>
        <v>Ei kuulu</v>
      </c>
      <c r="C63" s="3" t="s">
        <v>28</v>
      </c>
      <c r="D63" s="3" t="str">
        <f>IF(ISNUMBER(SEARCH(LV!$I$5, Turvallinen_ja_toimintavarma!C63)), "K", "E")</f>
        <v>E</v>
      </c>
      <c r="E63" s="3" t="str">
        <f>IF(ISNUMBER(SEARCH(LV!$I$6, Turvallinen_ja_toimintavarma!$C63)), "K", "E")</f>
        <v>E</v>
      </c>
      <c r="F63" s="3" t="str">
        <f>IF(ISNUMBER(SEARCH(LV!$I$7, Turvallinen_ja_toimintavarma!$C63)), "K", "E")</f>
        <v>E</v>
      </c>
      <c r="G63" s="3" t="str">
        <f>IF(ISNUMBER(SEARCH(LV!$I$8, Turvallinen_ja_toimintavarma!$C63)), "K", "E")</f>
        <v>E</v>
      </c>
      <c r="H63" s="3" t="str">
        <f>IF(OR(KysymyksetTaulukko[[#This Row],[Toimiala A]]="K",KysymyksetTaulukko[[#This Row],[Toimiala B]]="K",KysymyksetTaulukko[[#This Row],[Toimiala C]]="K",KysymyksetTaulukko[[#This Row],[Toimiala D]]="K"),"Kuuluu","Ei kuulu")</f>
        <v>Ei kuulu</v>
      </c>
      <c r="I63" s="3" t="str">
        <f>IF(OR(KysymyksetTaulukko[[#This Row],[Luokka]]="Ei kuulu",KysymyksetTaulukko[[#This Row],[Toimiala-
kysymys]]="Ei kuulu"), "Ei kuulu", "Kuuluu")</f>
        <v>Ei kuulu</v>
      </c>
      <c r="J63" s="3" t="str">
        <f>IF(KysymyksetTaulukko[[#This Row],[Luokka + toimiala]]="Kuuluu","a) Oman vesilaitoksen kysymykset","b) Muut kysymykset")</f>
        <v>b) Muut kysymykset</v>
      </c>
      <c r="K63" s="125" t="s">
        <v>7</v>
      </c>
      <c r="L63" s="9" t="s">
        <v>70</v>
      </c>
      <c r="M63" s="61" t="str">
        <f>LEFT(KysymyksetTaulukko[[#This Row],[Alakategoria_]],2)</f>
        <v>4.</v>
      </c>
      <c r="N63" s="107" t="s">
        <v>11</v>
      </c>
      <c r="O63" s="70" t="s">
        <v>206</v>
      </c>
      <c r="P63" s="67" t="str">
        <f>IF(AND(KysymyksetTaulukko[[#This Row],[Luokka]]="Extra",KysymyksetTaulukko[[#This Row],[Luokka + toimiala]]="Kuuluu"),"Extra","")</f>
        <v/>
      </c>
      <c r="Q63" s="114"/>
      <c r="R63" s="64" t="s">
        <v>77</v>
      </c>
      <c r="S63" s="159"/>
      <c r="T63" s="123">
        <f>IF(AND(KysymyksetTaulukko[[#This Row],[Luokka + toimiala]]="Kuuluu",KysymyksetTaulukko[[#This Row],[Vastaus]]="Kyllä"),1,0)</f>
        <v>0</v>
      </c>
      <c r="U63" s="121">
        <f>IF(AND(KysymyksetTaulukko[[#This Row],[Maksimipisteet]]=1,NOT(ISBLANK(KysymyksetTaulukko[[#This Row],[Vastaus]]))),1,0)</f>
        <v>0</v>
      </c>
      <c r="V63" s="123">
        <f>IF(OR(KysymyksetTaulukko[[#This Row],[Luokka + toimiala]]="Ei kuulu",KysymyksetTaulukko[[#This Row],[Vastaus]]="Ei koske",KysymyksetTaulukko[[#This Row],[Luokka]]="Extra",KysymyksetTaulukko[[#This Row],[Otsikkorivi]]="Kyllä"),0,1)</f>
        <v>0</v>
      </c>
    </row>
    <row r="64" spans="1:22" ht="28.5" x14ac:dyDescent="0.35">
      <c r="A64" s="3" t="s">
        <v>19</v>
      </c>
      <c r="B64" s="3" t="str">
        <f>IF(ISNUMBER(SEARCH("," &amp; LV!$B$10 &amp; ",", "," &amp; SUBSTITUTE(A64, " ", "")&amp; ",")),
  "Kuuluu",
  IF(AND(LV!$B$10&gt;=2,
      LV!$B$10&lt;=4,
      OR(ISNUMBER(SEARCH("," &amp;(LV!$B$10+1)&amp; ",", "," &amp; SUBSTITUTE(A64, " ", "")&amp; ",")),
        ISNUMBER(SEARCH("," &amp;(LV!$B$10+2)&amp; ",", "," &amp; SUBSTITUTE(A64, " ", "")&amp; ",")),
        ISNUMBER(SEARCH("," &amp;(LV!$B$10+3)&amp; ",", "," &amp; SUBSTITUTE(A64, " ", "")&amp; ",")),
        ISNUMBER(SEARCH("," &amp;(LV!$B$10+4)&amp; ",", "," &amp; SUBSTITUTE(A64, " ", "")&amp; ",")),
        ISNUMBER(SEARCH("," &amp;(LV!$B$10+5)&amp; ",", "," &amp; SUBSTITUTE(A64, " ", "")&amp; ",")))),
    "Extra",
    "Ei kuulu"))</f>
        <v>Ei kuulu</v>
      </c>
      <c r="C64" s="3" t="s">
        <v>28</v>
      </c>
      <c r="D64" s="3" t="str">
        <f>IF(ISNUMBER(SEARCH(LV!$I$5, Turvallinen_ja_toimintavarma!C64)), "K", "E")</f>
        <v>E</v>
      </c>
      <c r="E64" s="3" t="str">
        <f>IF(ISNUMBER(SEARCH(LV!$I$6, Turvallinen_ja_toimintavarma!$C64)), "K", "E")</f>
        <v>E</v>
      </c>
      <c r="F64" s="3" t="str">
        <f>IF(ISNUMBER(SEARCH(LV!$I$7, Turvallinen_ja_toimintavarma!$C64)), "K", "E")</f>
        <v>E</v>
      </c>
      <c r="G64" s="3" t="str">
        <f>IF(ISNUMBER(SEARCH(LV!$I$8, Turvallinen_ja_toimintavarma!$C64)), "K", "E")</f>
        <v>E</v>
      </c>
      <c r="H64" s="3" t="str">
        <f>IF(OR(KysymyksetTaulukko[[#This Row],[Toimiala A]]="K",KysymyksetTaulukko[[#This Row],[Toimiala B]]="K",KysymyksetTaulukko[[#This Row],[Toimiala C]]="K",KysymyksetTaulukko[[#This Row],[Toimiala D]]="K"),"Kuuluu","Ei kuulu")</f>
        <v>Ei kuulu</v>
      </c>
      <c r="I64" s="3" t="str">
        <f>IF(OR(KysymyksetTaulukko[[#This Row],[Luokka]]="Ei kuulu",KysymyksetTaulukko[[#This Row],[Toimiala-
kysymys]]="Ei kuulu"), "Ei kuulu", "Kuuluu")</f>
        <v>Ei kuulu</v>
      </c>
      <c r="J64" s="3" t="str">
        <f>IF(KysymyksetTaulukko[[#This Row],[Luokka + toimiala]]="Kuuluu","a) Oman vesilaitoksen kysymykset","b) Muut kysymykset")</f>
        <v>b) Muut kysymykset</v>
      </c>
      <c r="K64" s="125" t="s">
        <v>7</v>
      </c>
      <c r="L64" s="9" t="s">
        <v>70</v>
      </c>
      <c r="M64" s="61" t="str">
        <f>LEFT(KysymyksetTaulukko[[#This Row],[Alakategoria_]],2)</f>
        <v>4.</v>
      </c>
      <c r="N64" s="107" t="s">
        <v>11</v>
      </c>
      <c r="O64" s="70" t="s">
        <v>206</v>
      </c>
      <c r="P64" s="67" t="str">
        <f>IF(AND(KysymyksetTaulukko[[#This Row],[Luokka]]="Extra",KysymyksetTaulukko[[#This Row],[Luokka + toimiala]]="Kuuluu"),"Extra","")</f>
        <v/>
      </c>
      <c r="Q64" s="114"/>
      <c r="R64" s="64" t="s">
        <v>78</v>
      </c>
      <c r="S64" s="159"/>
      <c r="T64" s="123">
        <f>IF(AND(KysymyksetTaulukko[[#This Row],[Luokka + toimiala]]="Kuuluu",KysymyksetTaulukko[[#This Row],[Vastaus]]="Kyllä"),1,0)</f>
        <v>0</v>
      </c>
      <c r="U64" s="121">
        <f>IF(AND(KysymyksetTaulukko[[#This Row],[Maksimipisteet]]=1,NOT(ISBLANK(KysymyksetTaulukko[[#This Row],[Vastaus]]))),1,0)</f>
        <v>0</v>
      </c>
      <c r="V64" s="123">
        <f>IF(OR(KysymyksetTaulukko[[#This Row],[Luokka + toimiala]]="Ei kuulu",KysymyksetTaulukko[[#This Row],[Vastaus]]="Ei koske",KysymyksetTaulukko[[#This Row],[Luokka]]="Extra",KysymyksetTaulukko[[#This Row],[Otsikkorivi]]="Kyllä"),0,1)</f>
        <v>0</v>
      </c>
    </row>
    <row r="65" spans="1:22" ht="28.5" x14ac:dyDescent="0.35">
      <c r="A65" s="3">
        <v>3.4</v>
      </c>
      <c r="B65" s="3" t="str">
        <f>IF(ISNUMBER(SEARCH("," &amp; LV!$B$10 &amp; ",", "," &amp; SUBSTITUTE(A65, " ", "")&amp; ",")),
  "Kuuluu",
  IF(AND(LV!$B$10&gt;=2,
      LV!$B$10&lt;=4,
      OR(ISNUMBER(SEARCH("," &amp;(LV!$B$10+1)&amp; ",", "," &amp; SUBSTITUTE(A65, " ", "")&amp; ",")),
        ISNUMBER(SEARCH("," &amp;(LV!$B$10+2)&amp; ",", "," &amp; SUBSTITUTE(A65, " ", "")&amp; ",")),
        ISNUMBER(SEARCH("," &amp;(LV!$B$10+3)&amp; ",", "," &amp; SUBSTITUTE(A65, " ", "")&amp; ",")),
        ISNUMBER(SEARCH("," &amp;(LV!$B$10+4)&amp; ",", "," &amp; SUBSTITUTE(A65, " ", "")&amp; ",")),
        ISNUMBER(SEARCH("," &amp;(LV!$B$10+5)&amp; ",", "," &amp; SUBSTITUTE(A65, " ", "")&amp; ",")))),
    "Extra",
    "Ei kuulu"))</f>
        <v>Ei kuulu</v>
      </c>
      <c r="C65" s="3" t="s">
        <v>28</v>
      </c>
      <c r="D65" s="3" t="str">
        <f>IF(ISNUMBER(SEARCH(LV!$I$5, Turvallinen_ja_toimintavarma!C65)), "K", "E")</f>
        <v>E</v>
      </c>
      <c r="E65" s="3" t="str">
        <f>IF(ISNUMBER(SEARCH(LV!$I$6, Turvallinen_ja_toimintavarma!$C65)), "K", "E")</f>
        <v>E</v>
      </c>
      <c r="F65" s="3" t="str">
        <f>IF(ISNUMBER(SEARCH(LV!$I$7, Turvallinen_ja_toimintavarma!$C65)), "K", "E")</f>
        <v>E</v>
      </c>
      <c r="G65" s="3" t="str">
        <f>IF(ISNUMBER(SEARCH(LV!$I$8, Turvallinen_ja_toimintavarma!$C65)), "K", "E")</f>
        <v>E</v>
      </c>
      <c r="H65" s="3" t="str">
        <f>IF(OR(KysymyksetTaulukko[[#This Row],[Toimiala A]]="K",KysymyksetTaulukko[[#This Row],[Toimiala B]]="K",KysymyksetTaulukko[[#This Row],[Toimiala C]]="K",KysymyksetTaulukko[[#This Row],[Toimiala D]]="K"),"Kuuluu","Ei kuulu")</f>
        <v>Ei kuulu</v>
      </c>
      <c r="I65" s="3" t="str">
        <f>IF(OR(KysymyksetTaulukko[[#This Row],[Luokka]]="Ei kuulu",KysymyksetTaulukko[[#This Row],[Toimiala-
kysymys]]="Ei kuulu"), "Ei kuulu", "Kuuluu")</f>
        <v>Ei kuulu</v>
      </c>
      <c r="J65" s="3" t="str">
        <f>IF(KysymyksetTaulukko[[#This Row],[Luokka + toimiala]]="Kuuluu","a) Oman vesilaitoksen kysymykset","b) Muut kysymykset")</f>
        <v>b) Muut kysymykset</v>
      </c>
      <c r="K65" s="125" t="s">
        <v>7</v>
      </c>
      <c r="L65" s="9" t="s">
        <v>70</v>
      </c>
      <c r="M65" s="61" t="str">
        <f>LEFT(KysymyksetTaulukko[[#This Row],[Alakategoria_]],2)</f>
        <v>4.</v>
      </c>
      <c r="N65" s="107" t="s">
        <v>11</v>
      </c>
      <c r="O65" s="70" t="s">
        <v>206</v>
      </c>
      <c r="P65" s="67" t="str">
        <f>IF(AND(KysymyksetTaulukko[[#This Row],[Luokka]]="Extra",KysymyksetTaulukko[[#This Row],[Luokka + toimiala]]="Kuuluu"),"Extra","")</f>
        <v/>
      </c>
      <c r="Q65" s="114"/>
      <c r="R65" s="64" t="s">
        <v>79</v>
      </c>
      <c r="S65" s="159"/>
      <c r="T65" s="123">
        <f>IF(AND(KysymyksetTaulukko[[#This Row],[Luokka + toimiala]]="Kuuluu",KysymyksetTaulukko[[#This Row],[Vastaus]]="Kyllä"),1,0)</f>
        <v>0</v>
      </c>
      <c r="U65" s="121">
        <f>IF(AND(KysymyksetTaulukko[[#This Row],[Maksimipisteet]]=1,NOT(ISBLANK(KysymyksetTaulukko[[#This Row],[Vastaus]]))),1,0)</f>
        <v>0</v>
      </c>
      <c r="V65" s="123">
        <f>IF(OR(KysymyksetTaulukko[[#This Row],[Luokka + toimiala]]="Ei kuulu",KysymyksetTaulukko[[#This Row],[Vastaus]]="Ei koske",KysymyksetTaulukko[[#This Row],[Luokka]]="Extra",KysymyksetTaulukko[[#This Row],[Otsikkorivi]]="Kyllä"),0,1)</f>
        <v>0</v>
      </c>
    </row>
    <row r="66" spans="1:22" ht="28.5" x14ac:dyDescent="0.35">
      <c r="A66" s="3" t="s">
        <v>268</v>
      </c>
      <c r="B66" s="3" t="str">
        <f>IF(ISNUMBER(SEARCH("," &amp; LV!$B$10 &amp; ",", "," &amp; SUBSTITUTE(A66, " ", "")&amp; ",")),
  "Kuuluu",
  IF(AND(LV!$B$10&gt;=2,
      LV!$B$10&lt;=4,
      OR(ISNUMBER(SEARCH("," &amp;(LV!$B$10+1)&amp; ",", "," &amp; SUBSTITUTE(A66, " ", "")&amp; ",")),
        ISNUMBER(SEARCH("," &amp;(LV!$B$10+2)&amp; ",", "," &amp; SUBSTITUTE(A66, " ", "")&amp; ",")),
        ISNUMBER(SEARCH("," &amp;(LV!$B$10+3)&amp; ",", "," &amp; SUBSTITUTE(A66, " ", "")&amp; ",")),
        ISNUMBER(SEARCH("," &amp;(LV!$B$10+4)&amp; ",", "," &amp; SUBSTITUTE(A66, " ", "")&amp; ",")),
        ISNUMBER(SEARCH("," &amp;(LV!$B$10+5)&amp; ",", "," &amp; SUBSTITUTE(A66, " ", "")&amp; ",")))),
    "Extra",
    "Ei kuulu"))</f>
        <v>Ei kuulu</v>
      </c>
      <c r="C66" s="3" t="s">
        <v>28</v>
      </c>
      <c r="D66" s="3" t="str">
        <f>IF(ISNUMBER(SEARCH(LV!$I$5, Turvallinen_ja_toimintavarma!C66)), "K", "E")</f>
        <v>E</v>
      </c>
      <c r="E66" s="3" t="str">
        <f>IF(ISNUMBER(SEARCH(LV!$I$6, Turvallinen_ja_toimintavarma!$C66)), "K", "E")</f>
        <v>E</v>
      </c>
      <c r="F66" s="3" t="str">
        <f>IF(ISNUMBER(SEARCH(LV!$I$7, Turvallinen_ja_toimintavarma!$C66)), "K", "E")</f>
        <v>E</v>
      </c>
      <c r="G66" s="3" t="str">
        <f>IF(ISNUMBER(SEARCH(LV!$I$8, Turvallinen_ja_toimintavarma!$C66)), "K", "E")</f>
        <v>E</v>
      </c>
      <c r="H66" s="3" t="str">
        <f>IF(OR(KysymyksetTaulukko[[#This Row],[Toimiala A]]="K",KysymyksetTaulukko[[#This Row],[Toimiala B]]="K",KysymyksetTaulukko[[#This Row],[Toimiala C]]="K",KysymyksetTaulukko[[#This Row],[Toimiala D]]="K"),"Kuuluu","Ei kuulu")</f>
        <v>Ei kuulu</v>
      </c>
      <c r="I66" s="3" t="str">
        <f>IF(OR(KysymyksetTaulukko[[#This Row],[Luokka]]="Ei kuulu",KysymyksetTaulukko[[#This Row],[Toimiala-
kysymys]]="Ei kuulu"), "Ei kuulu", "Kuuluu")</f>
        <v>Ei kuulu</v>
      </c>
      <c r="J66" s="3" t="str">
        <f>IF(KysymyksetTaulukko[[#This Row],[Luokka + toimiala]]="Kuuluu","a) Oman vesilaitoksen kysymykset","b) Muut kysymykset")</f>
        <v>b) Muut kysymykset</v>
      </c>
      <c r="K66" s="125" t="s">
        <v>7</v>
      </c>
      <c r="L66" s="9" t="s">
        <v>70</v>
      </c>
      <c r="M66" s="61" t="str">
        <f>LEFT(KysymyksetTaulukko[[#This Row],[Alakategoria_]],2)</f>
        <v>4.</v>
      </c>
      <c r="N66" s="107" t="s">
        <v>11</v>
      </c>
      <c r="O66" s="70" t="s">
        <v>206</v>
      </c>
      <c r="P66" s="67" t="str">
        <f>IF(AND(KysymyksetTaulukko[[#This Row],[Luokka]]="Extra",KysymyksetTaulukko[[#This Row],[Luokka + toimiala]]="Kuuluu"),"Extra","")</f>
        <v/>
      </c>
      <c r="Q66" s="114"/>
      <c r="R66" s="64" t="s">
        <v>78</v>
      </c>
      <c r="S66" s="159"/>
      <c r="T66" s="123">
        <f>IF(AND(KysymyksetTaulukko[[#This Row],[Luokka + toimiala]]="Kuuluu",KysymyksetTaulukko[[#This Row],[Vastaus]]="Kyllä"),1,0)</f>
        <v>0</v>
      </c>
      <c r="U66" s="121">
        <f>IF(AND(KysymyksetTaulukko[[#This Row],[Maksimipisteet]]=1,NOT(ISBLANK(KysymyksetTaulukko[[#This Row],[Vastaus]]))),1,0)</f>
        <v>0</v>
      </c>
      <c r="V66" s="123">
        <f>IF(OR(KysymyksetTaulukko[[#This Row],[Luokka + toimiala]]="Ei kuulu",KysymyksetTaulukko[[#This Row],[Vastaus]]="Ei koske",KysymyksetTaulukko[[#This Row],[Luokka]]="Extra",KysymyksetTaulukko[[#This Row],[Otsikkorivi]]="Kyllä"),0,1)</f>
        <v>0</v>
      </c>
    </row>
    <row r="67" spans="1:22" ht="28.5" x14ac:dyDescent="0.35">
      <c r="A67" s="3">
        <v>4.4000000000000004</v>
      </c>
      <c r="B67" s="3" t="str">
        <f>IF(ISNUMBER(SEARCH("," &amp; LV!$B$10 &amp; ",", "," &amp; SUBSTITUTE(A67, " ", "")&amp; ",")),
  "Kuuluu",
  IF(AND(LV!$B$10&gt;=2,
      LV!$B$10&lt;=4,
      OR(ISNUMBER(SEARCH("," &amp;(LV!$B$10+1)&amp; ",", "," &amp; SUBSTITUTE(A67, " ", "")&amp; ",")),
        ISNUMBER(SEARCH("," &amp;(LV!$B$10+2)&amp; ",", "," &amp; SUBSTITUTE(A67, " ", "")&amp; ",")),
        ISNUMBER(SEARCH("," &amp;(LV!$B$10+3)&amp; ",", "," &amp; SUBSTITUTE(A67, " ", "")&amp; ",")),
        ISNUMBER(SEARCH("," &amp;(LV!$B$10+4)&amp; ",", "," &amp; SUBSTITUTE(A67, " ", "")&amp; ",")),
        ISNUMBER(SEARCH("," &amp;(LV!$B$10+5)&amp; ",", "," &amp; SUBSTITUTE(A67, " ", "")&amp; ",")))),
    "Extra",
    "Ei kuulu"))</f>
        <v>Ei kuulu</v>
      </c>
      <c r="C67" s="3" t="s">
        <v>28</v>
      </c>
      <c r="D67" s="3" t="str">
        <f>IF(ISNUMBER(SEARCH(LV!$I$5, Turvallinen_ja_toimintavarma!C67)), "K", "E")</f>
        <v>E</v>
      </c>
      <c r="E67" s="3" t="str">
        <f>IF(ISNUMBER(SEARCH(LV!$I$6, Turvallinen_ja_toimintavarma!$C67)), "K", "E")</f>
        <v>E</v>
      </c>
      <c r="F67" s="3" t="str">
        <f>IF(ISNUMBER(SEARCH(LV!$I$7, Turvallinen_ja_toimintavarma!$C67)), "K", "E")</f>
        <v>E</v>
      </c>
      <c r="G67" s="3" t="str">
        <f>IF(ISNUMBER(SEARCH(LV!$I$8, Turvallinen_ja_toimintavarma!$C67)), "K", "E")</f>
        <v>E</v>
      </c>
      <c r="H67" s="3" t="str">
        <f>IF(OR(KysymyksetTaulukko[[#This Row],[Toimiala A]]="K",KysymyksetTaulukko[[#This Row],[Toimiala B]]="K",KysymyksetTaulukko[[#This Row],[Toimiala C]]="K",KysymyksetTaulukko[[#This Row],[Toimiala D]]="K"),"Kuuluu","Ei kuulu")</f>
        <v>Ei kuulu</v>
      </c>
      <c r="I67" s="3" t="str">
        <f>IF(OR(KysymyksetTaulukko[[#This Row],[Luokka]]="Ei kuulu",KysymyksetTaulukko[[#This Row],[Toimiala-
kysymys]]="Ei kuulu"), "Ei kuulu", "Kuuluu")</f>
        <v>Ei kuulu</v>
      </c>
      <c r="J67" s="3" t="str">
        <f>IF(KysymyksetTaulukko[[#This Row],[Luokka + toimiala]]="Kuuluu","a) Oman vesilaitoksen kysymykset","b) Muut kysymykset")</f>
        <v>b) Muut kysymykset</v>
      </c>
      <c r="K67" s="125" t="s">
        <v>7</v>
      </c>
      <c r="L67" s="9" t="s">
        <v>70</v>
      </c>
      <c r="M67" s="61" t="str">
        <f>LEFT(KysymyksetTaulukko[[#This Row],[Alakategoria_]],2)</f>
        <v>4.</v>
      </c>
      <c r="N67" s="107" t="s">
        <v>11</v>
      </c>
      <c r="O67" s="70" t="s">
        <v>206</v>
      </c>
      <c r="P67" s="67" t="str">
        <f>IF(AND(KysymyksetTaulukko[[#This Row],[Luokka]]="Extra",KysymyksetTaulukko[[#This Row],[Luokka + toimiala]]="Kuuluu"),"Extra","")</f>
        <v/>
      </c>
      <c r="Q67" s="114"/>
      <c r="R67" s="64" t="s">
        <v>79</v>
      </c>
      <c r="S67" s="159"/>
      <c r="T67" s="123">
        <f>IF(AND(KysymyksetTaulukko[[#This Row],[Luokka + toimiala]]="Kuuluu",KysymyksetTaulukko[[#This Row],[Vastaus]]="Kyllä"),1,0)</f>
        <v>0</v>
      </c>
      <c r="U67" s="121">
        <f>IF(AND(KysymyksetTaulukko[[#This Row],[Maksimipisteet]]=1,NOT(ISBLANK(KysymyksetTaulukko[[#This Row],[Vastaus]]))),1,0)</f>
        <v>0</v>
      </c>
      <c r="V67" s="123">
        <f>IF(OR(KysymyksetTaulukko[[#This Row],[Luokka + toimiala]]="Ei kuulu",KysymyksetTaulukko[[#This Row],[Vastaus]]="Ei koske",KysymyksetTaulukko[[#This Row],[Luokka]]="Extra",KysymyksetTaulukko[[#This Row],[Otsikkorivi]]="Kyllä"),0,1)</f>
        <v>0</v>
      </c>
    </row>
    <row r="68" spans="1:22" ht="28.5" x14ac:dyDescent="0.35">
      <c r="A68" s="3" t="s">
        <v>269</v>
      </c>
      <c r="B68" s="3" t="str">
        <f>IF(ISNUMBER(SEARCH("," &amp; LV!$B$10 &amp; ",", "," &amp; SUBSTITUTE(A68, " ", "")&amp; ",")),
  "Kuuluu",
  IF(AND(LV!$B$10&gt;=2,
      LV!$B$10&lt;=4,
      OR(ISNUMBER(SEARCH("," &amp;(LV!$B$10+1)&amp; ",", "," &amp; SUBSTITUTE(A68, " ", "")&amp; ",")),
        ISNUMBER(SEARCH("," &amp;(LV!$B$10+2)&amp; ",", "," &amp; SUBSTITUTE(A68, " ", "")&amp; ",")),
        ISNUMBER(SEARCH("," &amp;(LV!$B$10+3)&amp; ",", "," &amp; SUBSTITUTE(A68, " ", "")&amp; ",")),
        ISNUMBER(SEARCH("," &amp;(LV!$B$10+4)&amp; ",", "," &amp; SUBSTITUTE(A68, " ", "")&amp; ",")),
        ISNUMBER(SEARCH("," &amp;(LV!$B$10+5)&amp; ",", "," &amp; SUBSTITUTE(A68, " ", "")&amp; ",")))),
    "Extra",
    "Ei kuulu"))</f>
        <v>Ei kuulu</v>
      </c>
      <c r="C68" s="3" t="s">
        <v>28</v>
      </c>
      <c r="D68" s="3" t="str">
        <f>IF(ISNUMBER(SEARCH(LV!$I$5, Turvallinen_ja_toimintavarma!C68)), "K", "E")</f>
        <v>E</v>
      </c>
      <c r="E68" s="3" t="str">
        <f>IF(ISNUMBER(SEARCH(LV!$I$6, Turvallinen_ja_toimintavarma!$C68)), "K", "E")</f>
        <v>E</v>
      </c>
      <c r="F68" s="3" t="str">
        <f>IF(ISNUMBER(SEARCH(LV!$I$7, Turvallinen_ja_toimintavarma!$C68)), "K", "E")</f>
        <v>E</v>
      </c>
      <c r="G68" s="3" t="str">
        <f>IF(ISNUMBER(SEARCH(LV!$I$8, Turvallinen_ja_toimintavarma!$C68)), "K", "E")</f>
        <v>E</v>
      </c>
      <c r="H68" s="3" t="str">
        <f>IF(OR(KysymyksetTaulukko[[#This Row],[Toimiala A]]="K",KysymyksetTaulukko[[#This Row],[Toimiala B]]="K",KysymyksetTaulukko[[#This Row],[Toimiala C]]="K",KysymyksetTaulukko[[#This Row],[Toimiala D]]="K"),"Kuuluu","Ei kuulu")</f>
        <v>Ei kuulu</v>
      </c>
      <c r="I68" s="3" t="str">
        <f>IF(OR(KysymyksetTaulukko[[#This Row],[Luokka]]="Ei kuulu",KysymyksetTaulukko[[#This Row],[Toimiala-
kysymys]]="Ei kuulu"), "Ei kuulu", "Kuuluu")</f>
        <v>Ei kuulu</v>
      </c>
      <c r="J68" s="3" t="str">
        <f>IF(KysymyksetTaulukko[[#This Row],[Luokka + toimiala]]="Kuuluu","a) Oman vesilaitoksen kysymykset","b) Muut kysymykset")</f>
        <v>b) Muut kysymykset</v>
      </c>
      <c r="K68" s="125" t="s">
        <v>7</v>
      </c>
      <c r="L68" s="9" t="s">
        <v>70</v>
      </c>
      <c r="M68" s="61" t="str">
        <f>LEFT(KysymyksetTaulukko[[#This Row],[Alakategoria_]],2)</f>
        <v>4.</v>
      </c>
      <c r="N68" s="107" t="s">
        <v>11</v>
      </c>
      <c r="O68" s="70" t="s">
        <v>206</v>
      </c>
      <c r="P68" s="67" t="str">
        <f>IF(AND(KysymyksetTaulukko[[#This Row],[Luokka]]="Extra",KysymyksetTaulukko[[#This Row],[Luokka + toimiala]]="Kuuluu"),"Extra","")</f>
        <v/>
      </c>
      <c r="Q68" s="114"/>
      <c r="R68" s="64" t="s">
        <v>78</v>
      </c>
      <c r="S68" s="159"/>
      <c r="T68" s="123">
        <f>IF(AND(KysymyksetTaulukko[[#This Row],[Luokka + toimiala]]="Kuuluu",KysymyksetTaulukko[[#This Row],[Vastaus]]="Kyllä"),1,0)</f>
        <v>0</v>
      </c>
      <c r="U68" s="121">
        <f>IF(AND(KysymyksetTaulukko[[#This Row],[Maksimipisteet]]=1,NOT(ISBLANK(KysymyksetTaulukko[[#This Row],[Vastaus]]))),1,0)</f>
        <v>0</v>
      </c>
      <c r="V68" s="123">
        <f>IF(OR(KysymyksetTaulukko[[#This Row],[Luokka + toimiala]]="Ei kuulu",KysymyksetTaulukko[[#This Row],[Vastaus]]="Ei koske",KysymyksetTaulukko[[#This Row],[Luokka]]="Extra",KysymyksetTaulukko[[#This Row],[Otsikkorivi]]="Kyllä"),0,1)</f>
        <v>0</v>
      </c>
    </row>
    <row r="69" spans="1:22" ht="28.5" x14ac:dyDescent="0.35">
      <c r="A69" s="3">
        <v>5.4</v>
      </c>
      <c r="B69" s="3" t="str">
        <f>IF(ISNUMBER(SEARCH("," &amp; LV!$B$10 &amp; ",", "," &amp; SUBSTITUTE(A69, " ", "")&amp; ",")),
  "Kuuluu",
  IF(AND(LV!$B$10&gt;=2,
      LV!$B$10&lt;=4,
      OR(ISNUMBER(SEARCH("," &amp;(LV!$B$10+1)&amp; ",", "," &amp; SUBSTITUTE(A69, " ", "")&amp; ",")),
        ISNUMBER(SEARCH("," &amp;(LV!$B$10+2)&amp; ",", "," &amp; SUBSTITUTE(A69, " ", "")&amp; ",")),
        ISNUMBER(SEARCH("," &amp;(LV!$B$10+3)&amp; ",", "," &amp; SUBSTITUTE(A69, " ", "")&amp; ",")),
        ISNUMBER(SEARCH("," &amp;(LV!$B$10+4)&amp; ",", "," &amp; SUBSTITUTE(A69, " ", "")&amp; ",")),
        ISNUMBER(SEARCH("," &amp;(LV!$B$10+5)&amp; ",", "," &amp; SUBSTITUTE(A69, " ", "")&amp; ",")))),
    "Extra",
    "Ei kuulu"))</f>
        <v>Ei kuulu</v>
      </c>
      <c r="C69" s="3" t="s">
        <v>28</v>
      </c>
      <c r="D69" s="3" t="str">
        <f>IF(ISNUMBER(SEARCH(LV!$I$5, Turvallinen_ja_toimintavarma!C69)), "K", "E")</f>
        <v>E</v>
      </c>
      <c r="E69" s="3" t="str">
        <f>IF(ISNUMBER(SEARCH(LV!$I$6, Turvallinen_ja_toimintavarma!$C69)), "K", "E")</f>
        <v>E</v>
      </c>
      <c r="F69" s="3" t="str">
        <f>IF(ISNUMBER(SEARCH(LV!$I$7, Turvallinen_ja_toimintavarma!$C69)), "K", "E")</f>
        <v>E</v>
      </c>
      <c r="G69" s="3" t="str">
        <f>IF(ISNUMBER(SEARCH(LV!$I$8, Turvallinen_ja_toimintavarma!$C69)), "K", "E")</f>
        <v>E</v>
      </c>
      <c r="H69" s="3" t="str">
        <f>IF(OR(KysymyksetTaulukko[[#This Row],[Toimiala A]]="K",KysymyksetTaulukko[[#This Row],[Toimiala B]]="K",KysymyksetTaulukko[[#This Row],[Toimiala C]]="K",KysymyksetTaulukko[[#This Row],[Toimiala D]]="K"),"Kuuluu","Ei kuulu")</f>
        <v>Ei kuulu</v>
      </c>
      <c r="I69" s="3" t="str">
        <f>IF(OR(KysymyksetTaulukko[[#This Row],[Luokka]]="Ei kuulu",KysymyksetTaulukko[[#This Row],[Toimiala-
kysymys]]="Ei kuulu"), "Ei kuulu", "Kuuluu")</f>
        <v>Ei kuulu</v>
      </c>
      <c r="J69" s="3" t="str">
        <f>IF(KysymyksetTaulukko[[#This Row],[Luokka + toimiala]]="Kuuluu","a) Oman vesilaitoksen kysymykset","b) Muut kysymykset")</f>
        <v>b) Muut kysymykset</v>
      </c>
      <c r="K69" s="125" t="s">
        <v>7</v>
      </c>
      <c r="L69" s="9" t="s">
        <v>70</v>
      </c>
      <c r="M69" s="61" t="str">
        <f>LEFT(KysymyksetTaulukko[[#This Row],[Alakategoria_]],2)</f>
        <v>4.</v>
      </c>
      <c r="N69" s="107" t="s">
        <v>11</v>
      </c>
      <c r="O69" s="70" t="s">
        <v>206</v>
      </c>
      <c r="P69" s="67" t="str">
        <f>IF(AND(KysymyksetTaulukko[[#This Row],[Luokka]]="Extra",KysymyksetTaulukko[[#This Row],[Luokka + toimiala]]="Kuuluu"),"Extra","")</f>
        <v/>
      </c>
      <c r="Q69" s="114"/>
      <c r="R69" s="64" t="s">
        <v>79</v>
      </c>
      <c r="S69" s="159"/>
      <c r="T69" s="123">
        <f>IF(AND(KysymyksetTaulukko[[#This Row],[Luokka + toimiala]]="Kuuluu",KysymyksetTaulukko[[#This Row],[Vastaus]]="Kyllä"),1,0)</f>
        <v>0</v>
      </c>
      <c r="U69" s="121">
        <f>IF(AND(KysymyksetTaulukko[[#This Row],[Maksimipisteet]]=1,NOT(ISBLANK(KysymyksetTaulukko[[#This Row],[Vastaus]]))),1,0)</f>
        <v>0</v>
      </c>
      <c r="V69" s="123">
        <f>IF(OR(KysymyksetTaulukko[[#This Row],[Luokka + toimiala]]="Ei kuulu",KysymyksetTaulukko[[#This Row],[Vastaus]]="Ei koske",KysymyksetTaulukko[[#This Row],[Luokka]]="Extra",KysymyksetTaulukko[[#This Row],[Otsikkorivi]]="Kyllä"),0,1)</f>
        <v>0</v>
      </c>
    </row>
    <row r="70" spans="1:22" ht="28.5" x14ac:dyDescent="0.35">
      <c r="A70" s="3" t="s">
        <v>270</v>
      </c>
      <c r="B70" s="3" t="str">
        <f>IF(ISNUMBER(SEARCH("," &amp; LV!$B$10 &amp; ",", "," &amp; SUBSTITUTE(A70, " ", "")&amp; ",")),
  "Kuuluu",
  IF(AND(LV!$B$10&gt;=2,
      LV!$B$10&lt;=4,
      OR(ISNUMBER(SEARCH("," &amp;(LV!$B$10+1)&amp; ",", "," &amp; SUBSTITUTE(A70, " ", "")&amp; ",")),
        ISNUMBER(SEARCH("," &amp;(LV!$B$10+2)&amp; ",", "," &amp; SUBSTITUTE(A70, " ", "")&amp; ",")),
        ISNUMBER(SEARCH("," &amp;(LV!$B$10+3)&amp; ",", "," &amp; SUBSTITUTE(A70, " ", "")&amp; ",")),
        ISNUMBER(SEARCH("," &amp;(LV!$B$10+4)&amp; ",", "," &amp; SUBSTITUTE(A70, " ", "")&amp; ",")),
        ISNUMBER(SEARCH("," &amp;(LV!$B$10+5)&amp; ",", "," &amp; SUBSTITUTE(A70, " ", "")&amp; ",")))),
    "Extra",
    "Ei kuulu"))</f>
        <v>Ei kuulu</v>
      </c>
      <c r="C70" s="3" t="s">
        <v>28</v>
      </c>
      <c r="D70" s="3" t="str">
        <f>IF(ISNUMBER(SEARCH(LV!$I$5, Turvallinen_ja_toimintavarma!C70)), "K", "E")</f>
        <v>E</v>
      </c>
      <c r="E70" s="3" t="str">
        <f>IF(ISNUMBER(SEARCH(LV!$I$6, Turvallinen_ja_toimintavarma!$C70)), "K", "E")</f>
        <v>E</v>
      </c>
      <c r="F70" s="3" t="str">
        <f>IF(ISNUMBER(SEARCH(LV!$I$7, Turvallinen_ja_toimintavarma!$C70)), "K", "E")</f>
        <v>E</v>
      </c>
      <c r="G70" s="3" t="str">
        <f>IF(ISNUMBER(SEARCH(LV!$I$8, Turvallinen_ja_toimintavarma!$C70)), "K", "E")</f>
        <v>E</v>
      </c>
      <c r="H70" s="3" t="str">
        <f>IF(OR(KysymyksetTaulukko[[#This Row],[Toimiala A]]="K",KysymyksetTaulukko[[#This Row],[Toimiala B]]="K",KysymyksetTaulukko[[#This Row],[Toimiala C]]="K",KysymyksetTaulukko[[#This Row],[Toimiala D]]="K"),"Kuuluu","Ei kuulu")</f>
        <v>Ei kuulu</v>
      </c>
      <c r="I70" s="3" t="str">
        <f>IF(OR(KysymyksetTaulukko[[#This Row],[Luokka]]="Ei kuulu",KysymyksetTaulukko[[#This Row],[Toimiala-
kysymys]]="Ei kuulu"), "Ei kuulu", "Kuuluu")</f>
        <v>Ei kuulu</v>
      </c>
      <c r="J70" s="3" t="str">
        <f>IF(KysymyksetTaulukko[[#This Row],[Luokka + toimiala]]="Kuuluu","a) Oman vesilaitoksen kysymykset","b) Muut kysymykset")</f>
        <v>b) Muut kysymykset</v>
      </c>
      <c r="K70" s="125" t="s">
        <v>7</v>
      </c>
      <c r="L70" s="9" t="s">
        <v>70</v>
      </c>
      <c r="M70" s="61" t="str">
        <f>LEFT(KysymyksetTaulukko[[#This Row],[Alakategoria_]],2)</f>
        <v>4.</v>
      </c>
      <c r="N70" s="107" t="s">
        <v>11</v>
      </c>
      <c r="O70" s="70" t="s">
        <v>206</v>
      </c>
      <c r="P70" s="67" t="str">
        <f>IF(AND(KysymyksetTaulukko[[#This Row],[Luokka]]="Extra",KysymyksetTaulukko[[#This Row],[Luokka + toimiala]]="Kuuluu"),"Extra","")</f>
        <v/>
      </c>
      <c r="Q70" s="114"/>
      <c r="R70" s="64" t="s">
        <v>78</v>
      </c>
      <c r="S70" s="159"/>
      <c r="T70" s="123">
        <f>IF(AND(KysymyksetTaulukko[[#This Row],[Luokka + toimiala]]="Kuuluu",KysymyksetTaulukko[[#This Row],[Vastaus]]="Kyllä"),1,0)</f>
        <v>0</v>
      </c>
      <c r="U70" s="121">
        <f>IF(AND(KysymyksetTaulukko[[#This Row],[Maksimipisteet]]=1,NOT(ISBLANK(KysymyksetTaulukko[[#This Row],[Vastaus]]))),1,0)</f>
        <v>0</v>
      </c>
      <c r="V70" s="123">
        <f>IF(OR(KysymyksetTaulukko[[#This Row],[Luokka + toimiala]]="Ei kuulu",KysymyksetTaulukko[[#This Row],[Vastaus]]="Ei koske",KysymyksetTaulukko[[#This Row],[Luokka]]="Extra",KysymyksetTaulukko[[#This Row],[Otsikkorivi]]="Kyllä"),0,1)</f>
        <v>0</v>
      </c>
    </row>
    <row r="71" spans="1:22" x14ac:dyDescent="0.35">
      <c r="S71" s="18"/>
      <c r="V71" s="6"/>
    </row>
    <row r="72" spans="1:22" x14ac:dyDescent="0.35">
      <c r="S72" s="18"/>
      <c r="V72" s="6"/>
    </row>
  </sheetData>
  <phoneticPr fontId="5" type="noConversion"/>
  <conditionalFormatting sqref="R5:R70">
    <cfRule type="expression" dxfId="31" priority="28">
      <formula>I5="Ei kuulu"</formula>
    </cfRule>
    <cfRule type="expression" dxfId="30" priority="29">
      <formula>P5="Extra"</formula>
    </cfRule>
  </conditionalFormatting>
  <conditionalFormatting sqref="S5:S70">
    <cfRule type="expression" dxfId="29" priority="30">
      <formula>AND(P5="Extra",NOT(ISBLANK(S5)))</formula>
    </cfRule>
    <cfRule type="expression" dxfId="28" priority="31">
      <formula>NOT(ISBLANK($S5))</formula>
    </cfRule>
    <cfRule type="expression" dxfId="27" priority="32">
      <formula>I5="Ei kuulu"</formula>
    </cfRule>
  </conditionalFormatting>
  <hyperlinks>
    <hyperlink ref="S1" location="Ohje!A1" tooltip="Klikkaa tästä niin pääset lukemaan ohjeita toiselta välilehdeltä." display="Ohje" xr:uid="{AD4353E0-C54B-4DB3-8609-0B1D5574EA5E}"/>
  </hyperlinks>
  <pageMargins left="0.7" right="0.7" top="0.75" bottom="0.75" header="0.3" footer="0.3"/>
  <pageSetup paperSize="9" orientation="portrait" horizontalDpi="4294967293" verticalDpi="0"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6B9A2B-3B64-42AA-907B-4D700A817EB1}">
          <x14:formula1>
            <xm:f>LV!$B$30:$B$32</xm:f>
          </x14:formula1>
          <xm:sqref>S6:S16 S18:S42 S57:S70 S44:S55</xm:sqref>
        </x14:dataValidation>
      </x14:dataValidations>
    </ext>
    <ext xmlns:x15="http://schemas.microsoft.com/office/spreadsheetml/2010/11/main" uri="{3A4CF648-6AED-40f4-86FF-DC5316D8AED3}">
      <x14:slicerList xmlns:x14="http://schemas.microsoft.com/office/spreadsheetml/2009/9/main">
        <x14:slicer r:id="rId5"/>
      </x14:slicerList>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625D0-753A-4B33-BB3E-9965B99577D9}">
  <sheetPr>
    <tabColor rgb="FFD0EF67"/>
  </sheetPr>
  <dimension ref="A1:AH47"/>
  <sheetViews>
    <sheetView showGridLines="0" topLeftCell="R1" zoomScale="145" zoomScaleNormal="145" workbookViewId="0">
      <pane ySplit="4" topLeftCell="A18" activePane="bottomLeft" state="frozen"/>
      <selection activeCell="B1" sqref="B1"/>
      <selection pane="bottomLeft" activeCell="R19" sqref="R19"/>
    </sheetView>
  </sheetViews>
  <sheetFormatPr defaultColWidth="8.81640625" defaultRowHeight="14.5" x14ac:dyDescent="0.35"/>
  <cols>
    <col min="1" max="1" width="8.1796875" style="6" hidden="1" customWidth="1"/>
    <col min="2" max="2" width="11.36328125" style="6" hidden="1" customWidth="1"/>
    <col min="3" max="3" width="11.90625" style="6" hidden="1" customWidth="1"/>
    <col min="4" max="7" width="7.54296875" style="6" hidden="1" customWidth="1"/>
    <col min="8" max="10" width="9.453125" style="6" hidden="1" customWidth="1"/>
    <col min="11" max="11" width="28" style="9" hidden="1" customWidth="1"/>
    <col min="12" max="12" width="90.6328125" style="9" hidden="1" customWidth="1"/>
    <col min="13" max="13" width="8.90625" style="12" hidden="1" customWidth="1"/>
    <col min="14" max="14" width="8.90625" style="17" hidden="1" customWidth="1"/>
    <col min="15" max="15" width="8.90625" style="17" customWidth="1"/>
    <col min="16" max="16" width="9.36328125" style="16" customWidth="1"/>
    <col min="17" max="17" width="9.36328125" style="16" hidden="1" customWidth="1"/>
    <col min="18" max="18" width="119.54296875" style="2" customWidth="1"/>
    <col min="19" max="19" width="8.81640625" style="16"/>
    <col min="20" max="22" width="8.81640625" style="18" hidden="1" customWidth="1"/>
    <col min="23" max="16384" width="8.81640625" style="6"/>
  </cols>
  <sheetData>
    <row r="1" spans="1:34" x14ac:dyDescent="0.35">
      <c r="O1" s="119"/>
      <c r="P1" s="120"/>
      <c r="Q1" s="120"/>
      <c r="R1" s="131"/>
      <c r="S1" s="160" t="s">
        <v>272</v>
      </c>
      <c r="W1" s="129"/>
      <c r="X1" s="129"/>
      <c r="Y1" s="129"/>
      <c r="Z1" s="129"/>
      <c r="AA1" s="129"/>
      <c r="AB1" s="129"/>
      <c r="AC1" s="129"/>
      <c r="AD1" s="129"/>
      <c r="AE1" s="129"/>
      <c r="AF1" s="129"/>
      <c r="AG1" s="129"/>
      <c r="AH1" s="129"/>
    </row>
    <row r="2" spans="1:34" ht="20" x14ac:dyDescent="0.4">
      <c r="A2" s="129"/>
      <c r="B2" s="129"/>
      <c r="C2" s="129"/>
      <c r="D2" s="129"/>
      <c r="E2" s="129"/>
      <c r="F2" s="129"/>
      <c r="G2" s="129"/>
      <c r="H2" s="129"/>
      <c r="I2" s="129"/>
      <c r="J2" s="129"/>
      <c r="K2" s="130"/>
      <c r="L2" s="130"/>
      <c r="M2" s="118"/>
      <c r="N2" s="119"/>
      <c r="O2" s="119"/>
      <c r="P2" s="139" t="s">
        <v>80</v>
      </c>
      <c r="Q2" s="120"/>
      <c r="R2" s="131"/>
      <c r="S2" s="120"/>
      <c r="W2" s="129"/>
      <c r="X2" s="129"/>
      <c r="Y2" s="129"/>
      <c r="Z2" s="129"/>
      <c r="AA2" s="129"/>
      <c r="AB2" s="129"/>
      <c r="AC2" s="129"/>
      <c r="AD2" s="129"/>
      <c r="AE2" s="129"/>
      <c r="AF2" s="129"/>
      <c r="AG2" s="129"/>
      <c r="AH2" s="129"/>
    </row>
    <row r="3" spans="1:34" ht="19.75" customHeight="1" x14ac:dyDescent="0.4">
      <c r="M3" s="118"/>
      <c r="N3" s="119"/>
      <c r="O3" s="119"/>
      <c r="P3" s="120"/>
      <c r="Q3" s="120"/>
      <c r="R3" s="143" t="str">
        <f>'TEKNINEN - TulostenLasku'!$C$52</f>
        <v>Vastattu 0 %:iin vesilaitostanne koskevista pakollisista kysymyksistä.</v>
      </c>
      <c r="S3" s="120"/>
      <c r="W3" s="129"/>
      <c r="X3" s="129"/>
      <c r="Y3" s="129"/>
      <c r="Z3" s="129"/>
      <c r="AA3" s="129"/>
      <c r="AB3" s="129"/>
      <c r="AC3" s="129"/>
      <c r="AD3" s="129"/>
      <c r="AE3" s="129"/>
      <c r="AF3" s="129"/>
      <c r="AG3" s="129"/>
      <c r="AH3" s="129"/>
    </row>
    <row r="4" spans="1:34" ht="46.5" customHeight="1" x14ac:dyDescent="0.35">
      <c r="A4" s="71" t="s">
        <v>176</v>
      </c>
      <c r="B4" s="71" t="s">
        <v>0</v>
      </c>
      <c r="C4" s="71" t="s">
        <v>175</v>
      </c>
      <c r="D4" s="115" t="s">
        <v>252</v>
      </c>
      <c r="E4" s="115" t="s">
        <v>253</v>
      </c>
      <c r="F4" s="115" t="s">
        <v>254</v>
      </c>
      <c r="G4" s="115" t="s">
        <v>255</v>
      </c>
      <c r="H4" s="71" t="s">
        <v>223</v>
      </c>
      <c r="I4" s="71" t="s">
        <v>183</v>
      </c>
      <c r="J4" s="71" t="s">
        <v>259</v>
      </c>
      <c r="K4" s="115" t="s">
        <v>1</v>
      </c>
      <c r="L4" s="115" t="s">
        <v>228</v>
      </c>
      <c r="M4" s="72" t="s">
        <v>226</v>
      </c>
      <c r="N4" s="72" t="s">
        <v>205</v>
      </c>
      <c r="O4" s="134" t="s">
        <v>225</v>
      </c>
      <c r="P4" s="134" t="s">
        <v>224</v>
      </c>
      <c r="Q4" s="135" t="s">
        <v>227</v>
      </c>
      <c r="R4" s="132" t="s">
        <v>199</v>
      </c>
      <c r="S4" s="133" t="s">
        <v>174</v>
      </c>
      <c r="T4" s="116" t="s">
        <v>185</v>
      </c>
      <c r="U4" s="116" t="s">
        <v>250</v>
      </c>
      <c r="V4" s="116" t="s">
        <v>184</v>
      </c>
      <c r="W4" s="129"/>
      <c r="X4" s="129"/>
      <c r="Y4" s="129"/>
      <c r="Z4" s="129"/>
      <c r="AA4" s="140"/>
      <c r="AB4" s="141"/>
      <c r="AC4" s="129"/>
      <c r="AD4" s="142"/>
      <c r="AE4" s="129"/>
      <c r="AF4" s="129"/>
      <c r="AG4" s="129"/>
      <c r="AH4" s="129"/>
    </row>
    <row r="5" spans="1:34" ht="28.5" x14ac:dyDescent="0.35">
      <c r="A5" s="3" t="s">
        <v>6</v>
      </c>
      <c r="B5" s="3" t="str">
        <f>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f>
        <v>Ei kuulu</v>
      </c>
      <c r="C5" s="3" t="s">
        <v>28</v>
      </c>
      <c r="D5" s="3" t="str">
        <f>IF(ISNUMBER(SEARCH(LV!$I$5, Kustannustehokas_ja_organisoitu!C5)), "K", "E")</f>
        <v>E</v>
      </c>
      <c r="E5" s="3" t="str">
        <f>IF(ISNUMBER(SEARCH(LV!$I$6, Kustannustehokas_ja_organisoitu!$C5)), "K", "E")</f>
        <v>E</v>
      </c>
      <c r="F5" s="3" t="str">
        <f>IF(ISNUMBER(SEARCH(LV!$I$7, Kustannustehokas_ja_organisoitu!$C5)), "K", "E")</f>
        <v>E</v>
      </c>
      <c r="G5" s="3" t="str">
        <f>IF(ISNUMBER(SEARCH(LV!$I$8, Kustannustehokas_ja_organisoitu!$C5)), "K", "E")</f>
        <v>E</v>
      </c>
      <c r="H5" s="3" t="str">
        <f>IF(OR(KysymyksetTaulukko2[[#This Row],[Toimiala A]]="K",KysymyksetTaulukko2[[#This Row],[Toimiala B]]="K",KysymyksetTaulukko2[[#This Row],[Toimiala C]]="K",KysymyksetTaulukko2[[#This Row],[Toimiala D]]="K"),"Kuuluu","Ei kuulu")</f>
        <v>Ei kuulu</v>
      </c>
      <c r="I5" s="3" t="str">
        <f>IF(OR(KysymyksetTaulukko2[[#This Row],[Luokka]]="Ei kuulu",KysymyksetTaulukko2[[#This Row],[Toimiala-
kysymys]]="Ei kuulu"), "Ei kuulu", "Kuuluu")</f>
        <v>Ei kuulu</v>
      </c>
      <c r="J5" s="3" t="str">
        <f>IF(KysymyksetTaulukko2[[#This Row],[Luokka + toimiala]]="Kuuluu","a) Oman vesilaitoksen kysymykset","b) Muut kysymykset")</f>
        <v>b) Muut kysymykset</v>
      </c>
      <c r="K5" s="9" t="s">
        <v>80</v>
      </c>
      <c r="L5" s="9" t="s">
        <v>241</v>
      </c>
      <c r="M5" s="61" t="str">
        <f>LEFT(KysymyksetTaulukko2[[#This Row],[Alakategoria_]],2)</f>
        <v>_O</v>
      </c>
      <c r="N5" s="107"/>
      <c r="O5" s="70"/>
      <c r="P5" s="67" t="str">
        <f>IF(AND(KysymyksetTaulukko2[[#This Row],[Luokka]]="Extra",KysymyksetTaulukko2[[#This Row],[Luokka + toimiala]]="Kuuluu"),"Extra","")</f>
        <v/>
      </c>
      <c r="Q5" s="114" t="s">
        <v>177</v>
      </c>
      <c r="R5" s="128" t="s">
        <v>81</v>
      </c>
      <c r="S5" s="158"/>
      <c r="T5" s="123">
        <f>IF(AND(KysymyksetTaulukko2[[#This Row],[Luokka + toimiala]]="Kuuluu",KysymyksetTaulukko2[[#This Row],[Vastaus]]="Kyllä"),1,0)</f>
        <v>0</v>
      </c>
      <c r="U5" s="121">
        <f>IF(AND(KysymyksetTaulukko2[[#This Row],[Maksimipisteet]]=1,NOT(ISBLANK(KysymyksetTaulukko2[[#This Row],[Vastaus]]))),1,0)</f>
        <v>0</v>
      </c>
      <c r="V5" s="123">
        <f>IF(OR(KysymyksetTaulukko2[[#This Row],[Luokka + toimiala]]="Ei kuulu",KysymyksetTaulukko2[[#This Row],[Vastaus]]="Ei koske",KysymyksetTaulukko2[[#This Row],[Luokka]]="Extra",KysymyksetTaulukko2[[#This Row],[Otsikkorivi]]="Kyllä"),0,1)</f>
        <v>0</v>
      </c>
    </row>
    <row r="6" spans="1:34" ht="28.5" x14ac:dyDescent="0.35">
      <c r="A6" s="3" t="s">
        <v>12</v>
      </c>
      <c r="B6" s="3" t="str">
        <f>IF(ISNUMBER(SEARCH("," &amp; LV!$B$10 &amp; ",", "," &amp; SUBSTITUTE(A6, " ", "")&amp; ",")),
  "Kuuluu",
  IF(AND(LV!$B$10&gt;=2,
      LV!$B$10&lt;=4,
      OR(ISNUMBER(SEARCH("," &amp;(LV!$B$10+1)&amp; ",", "," &amp; SUBSTITUTE(A6, " ", "")&amp; ",")),
        ISNUMBER(SEARCH("," &amp;(LV!$B$10+2)&amp; ",", "," &amp; SUBSTITUTE(A6, " ", "")&amp; ",")),
        ISNUMBER(SEARCH("," &amp;(LV!$B$10+3)&amp; ",", "," &amp; SUBSTITUTE(A6, " ", "")&amp; ",")),
        ISNUMBER(SEARCH("," &amp;(LV!$B$10+4)&amp; ",", "," &amp; SUBSTITUTE(A6, " ", "")&amp; ",")),
        ISNUMBER(SEARCH("," &amp;(LV!$B$10+5)&amp; ",", "," &amp; SUBSTITUTE(A6, " ", "")&amp; ",")))),
    "Extra",
    "Ei kuulu"))</f>
        <v>Ei kuulu</v>
      </c>
      <c r="C6" s="3" t="s">
        <v>28</v>
      </c>
      <c r="D6" s="3" t="str">
        <f>IF(ISNUMBER(SEARCH(LV!$I$5, Kustannustehokas_ja_organisoitu!C6)), "K", "E")</f>
        <v>E</v>
      </c>
      <c r="E6" s="3" t="str">
        <f>IF(ISNUMBER(SEARCH(LV!$I$6, Kustannustehokas_ja_organisoitu!$C6)), "K", "E")</f>
        <v>E</v>
      </c>
      <c r="F6" s="3" t="str">
        <f>IF(ISNUMBER(SEARCH(LV!$I$7, Kustannustehokas_ja_organisoitu!$C6)), "K", "E")</f>
        <v>E</v>
      </c>
      <c r="G6" s="3" t="str">
        <f>IF(ISNUMBER(SEARCH(LV!$I$8, Kustannustehokas_ja_organisoitu!$C6)), "K", "E")</f>
        <v>E</v>
      </c>
      <c r="H6" s="3" t="str">
        <f>IF(OR(KysymyksetTaulukko2[[#This Row],[Toimiala A]]="K",KysymyksetTaulukko2[[#This Row],[Toimiala B]]="K",KysymyksetTaulukko2[[#This Row],[Toimiala C]]="K",KysymyksetTaulukko2[[#This Row],[Toimiala D]]="K"),"Kuuluu","Ei kuulu")</f>
        <v>Ei kuulu</v>
      </c>
      <c r="I6" s="3" t="str">
        <f>IF(OR(KysymyksetTaulukko2[[#This Row],[Luokka]]="Ei kuulu",KysymyksetTaulukko2[[#This Row],[Toimiala-
kysymys]]="Ei kuulu"), "Ei kuulu", "Kuuluu")</f>
        <v>Ei kuulu</v>
      </c>
      <c r="J6" s="3" t="str">
        <f>IF(KysymyksetTaulukko2[[#This Row],[Luokka + toimiala]]="Kuuluu","a) Oman vesilaitoksen kysymykset","b) Muut kysymykset")</f>
        <v>b) Muut kysymykset</v>
      </c>
      <c r="K6" s="9" t="s">
        <v>80</v>
      </c>
      <c r="L6" s="9" t="s">
        <v>81</v>
      </c>
      <c r="M6" s="61" t="str">
        <f>LEFT(KysymyksetTaulukko2[[#This Row],[Alakategoria_]],2)</f>
        <v>5.</v>
      </c>
      <c r="N6" s="107"/>
      <c r="O6" s="70" t="s">
        <v>222</v>
      </c>
      <c r="P6" s="67" t="str">
        <f>IF(AND(KysymyksetTaulukko2[[#This Row],[Luokka]]="Extra",KysymyksetTaulukko2[[#This Row],[Luokka + toimiala]]="Kuuluu"),"Extra","")</f>
        <v/>
      </c>
      <c r="Q6" s="114"/>
      <c r="R6" s="64" t="s">
        <v>82</v>
      </c>
      <c r="S6" s="159"/>
      <c r="T6" s="123">
        <f>IF(AND(KysymyksetTaulukko2[[#This Row],[Luokka + toimiala]]="Kuuluu",KysymyksetTaulukko2[[#This Row],[Vastaus]]="Kyllä"),1,0)</f>
        <v>0</v>
      </c>
      <c r="U6" s="121">
        <f>IF(AND(KysymyksetTaulukko2[[#This Row],[Maksimipisteet]]=1,NOT(ISBLANK(KysymyksetTaulukko2[[#This Row],[Vastaus]]))),1,0)</f>
        <v>0</v>
      </c>
      <c r="V6" s="123">
        <f>IF(OR(KysymyksetTaulukko2[[#This Row],[Luokka + toimiala]]="Ei kuulu",KysymyksetTaulukko2[[#This Row],[Vastaus]]="Ei koske",KysymyksetTaulukko2[[#This Row],[Luokka]]="Extra",KysymyksetTaulukko2[[#This Row],[Otsikkorivi]]="Kyllä"),0,1)</f>
        <v>0</v>
      </c>
    </row>
    <row r="7" spans="1:34" ht="29" x14ac:dyDescent="0.35">
      <c r="A7" s="3" t="s">
        <v>12</v>
      </c>
      <c r="B7" s="3" t="str">
        <f>IF(ISNUMBER(SEARCH("," &amp; LV!$B$10 &amp; ",", "," &amp; SUBSTITUTE(A7, " ", "")&amp; ",")),
  "Kuuluu",
  IF(AND(LV!$B$10&gt;=2,
      LV!$B$10&lt;=4,
      OR(ISNUMBER(SEARCH("," &amp;(LV!$B$10+1)&amp; ",", "," &amp; SUBSTITUTE(A7, " ", "")&amp; ",")),
        ISNUMBER(SEARCH("," &amp;(LV!$B$10+2)&amp; ",", "," &amp; SUBSTITUTE(A7, " ", "")&amp; ",")),
        ISNUMBER(SEARCH("," &amp;(LV!$B$10+3)&amp; ",", "," &amp; SUBSTITUTE(A7, " ", "")&amp; ",")),
        ISNUMBER(SEARCH("," &amp;(LV!$B$10+4)&amp; ",", "," &amp; SUBSTITUTE(A7, " ", "")&amp; ",")),
        ISNUMBER(SEARCH("," &amp;(LV!$B$10+5)&amp; ",", "," &amp; SUBSTITUTE(A7, " ", "")&amp; ",")))),
    "Extra",
    "Ei kuulu"))</f>
        <v>Ei kuulu</v>
      </c>
      <c r="C7" s="3" t="s">
        <v>28</v>
      </c>
      <c r="D7" s="3" t="str">
        <f>IF(ISNUMBER(SEARCH(LV!$I$5, Kustannustehokas_ja_organisoitu!C7)), "K", "E")</f>
        <v>E</v>
      </c>
      <c r="E7" s="3" t="str">
        <f>IF(ISNUMBER(SEARCH(LV!$I$6, Kustannustehokas_ja_organisoitu!$C7)), "K", "E")</f>
        <v>E</v>
      </c>
      <c r="F7" s="3" t="str">
        <f>IF(ISNUMBER(SEARCH(LV!$I$7, Kustannustehokas_ja_organisoitu!$C7)), "K", "E")</f>
        <v>E</v>
      </c>
      <c r="G7" s="3" t="str">
        <f>IF(ISNUMBER(SEARCH(LV!$I$8, Kustannustehokas_ja_organisoitu!$C7)), "K", "E")</f>
        <v>E</v>
      </c>
      <c r="H7" s="3" t="str">
        <f>IF(OR(KysymyksetTaulukko2[[#This Row],[Toimiala A]]="K",KysymyksetTaulukko2[[#This Row],[Toimiala B]]="K",KysymyksetTaulukko2[[#This Row],[Toimiala C]]="K",KysymyksetTaulukko2[[#This Row],[Toimiala D]]="K"),"Kuuluu","Ei kuulu")</f>
        <v>Ei kuulu</v>
      </c>
      <c r="I7" s="3" t="str">
        <f>IF(OR(KysymyksetTaulukko2[[#This Row],[Luokka]]="Ei kuulu",KysymyksetTaulukko2[[#This Row],[Toimiala-
kysymys]]="Ei kuulu"), "Ei kuulu", "Kuuluu")</f>
        <v>Ei kuulu</v>
      </c>
      <c r="J7" s="3" t="str">
        <f>IF(KysymyksetTaulukko2[[#This Row],[Luokka + toimiala]]="Kuuluu","a) Oman vesilaitoksen kysymykset","b) Muut kysymykset")</f>
        <v>b) Muut kysymykset</v>
      </c>
      <c r="K7" s="9" t="s">
        <v>80</v>
      </c>
      <c r="L7" s="9" t="s">
        <v>81</v>
      </c>
      <c r="M7" s="61" t="str">
        <f>LEFT(KysymyksetTaulukko2[[#This Row],[Alakategoria_]],2)</f>
        <v>5.</v>
      </c>
      <c r="N7" s="107" t="s">
        <v>11</v>
      </c>
      <c r="O7" s="70" t="s">
        <v>206</v>
      </c>
      <c r="P7" s="67" t="str">
        <f>IF(AND(KysymyksetTaulukko2[[#This Row],[Luokka]]="Extra",KysymyksetTaulukko2[[#This Row],[Luokka + toimiala]]="Kuuluu"),"Extra","")</f>
        <v/>
      </c>
      <c r="Q7" s="114"/>
      <c r="R7" s="64" t="s">
        <v>83</v>
      </c>
      <c r="S7" s="159"/>
      <c r="T7" s="123">
        <f>IF(AND(KysymyksetTaulukko2[[#This Row],[Luokka + toimiala]]="Kuuluu",KysymyksetTaulukko2[[#This Row],[Vastaus]]="Kyllä"),1,0)</f>
        <v>0</v>
      </c>
      <c r="U7" s="121">
        <f>IF(AND(KysymyksetTaulukko2[[#This Row],[Maksimipisteet]]=1,NOT(ISBLANK(KysymyksetTaulukko2[[#This Row],[Vastaus]]))),1,0)</f>
        <v>0</v>
      </c>
      <c r="V7" s="123">
        <f>IF(OR(KysymyksetTaulukko2[[#This Row],[Luokka + toimiala]]="Ei kuulu",KysymyksetTaulukko2[[#This Row],[Vastaus]]="Ei koske",KysymyksetTaulukko2[[#This Row],[Luokka]]="Extra",KysymyksetTaulukko2[[#This Row],[Otsikkorivi]]="Kyllä"),0,1)</f>
        <v>0</v>
      </c>
    </row>
    <row r="8" spans="1:34" ht="29" x14ac:dyDescent="0.35">
      <c r="A8" s="3" t="s">
        <v>12</v>
      </c>
      <c r="B8" s="3" t="str">
        <f>IF(ISNUMBER(SEARCH("," &amp; LV!$B$10 &amp; ",", "," &amp; SUBSTITUTE(A8, " ", "")&amp; ",")),
  "Kuuluu",
  IF(AND(LV!$B$10&gt;=2,
      LV!$B$10&lt;=4,
      OR(ISNUMBER(SEARCH("," &amp;(LV!$B$10+1)&amp; ",", "," &amp; SUBSTITUTE(A8, " ", "")&amp; ",")),
        ISNUMBER(SEARCH("," &amp;(LV!$B$10+2)&amp; ",", "," &amp; SUBSTITUTE(A8, " ", "")&amp; ",")),
        ISNUMBER(SEARCH("," &amp;(LV!$B$10+3)&amp; ",", "," &amp; SUBSTITUTE(A8, " ", "")&amp; ",")),
        ISNUMBER(SEARCH("," &amp;(LV!$B$10+4)&amp; ",", "," &amp; SUBSTITUTE(A8, " ", "")&amp; ",")),
        ISNUMBER(SEARCH("," &amp;(LV!$B$10+5)&amp; ",", "," &amp; SUBSTITUTE(A8, " ", "")&amp; ",")))),
    "Extra",
    "Ei kuulu"))</f>
        <v>Ei kuulu</v>
      </c>
      <c r="C8" s="3" t="s">
        <v>28</v>
      </c>
      <c r="D8" s="3" t="str">
        <f>IF(ISNUMBER(SEARCH(LV!$I$5, Kustannustehokas_ja_organisoitu!C8)), "K", "E")</f>
        <v>E</v>
      </c>
      <c r="E8" s="3" t="str">
        <f>IF(ISNUMBER(SEARCH(LV!$I$6, Kustannustehokas_ja_organisoitu!$C8)), "K", "E")</f>
        <v>E</v>
      </c>
      <c r="F8" s="3" t="str">
        <f>IF(ISNUMBER(SEARCH(LV!$I$7, Kustannustehokas_ja_organisoitu!$C8)), "K", "E")</f>
        <v>E</v>
      </c>
      <c r="G8" s="3" t="str">
        <f>IF(ISNUMBER(SEARCH(LV!$I$8, Kustannustehokas_ja_organisoitu!$C8)), "K", "E")</f>
        <v>E</v>
      </c>
      <c r="H8" s="3" t="str">
        <f>IF(OR(KysymyksetTaulukko2[[#This Row],[Toimiala A]]="K",KysymyksetTaulukko2[[#This Row],[Toimiala B]]="K",KysymyksetTaulukko2[[#This Row],[Toimiala C]]="K",KysymyksetTaulukko2[[#This Row],[Toimiala D]]="K"),"Kuuluu","Ei kuulu")</f>
        <v>Ei kuulu</v>
      </c>
      <c r="I8" s="3" t="str">
        <f>IF(OR(KysymyksetTaulukko2[[#This Row],[Luokka]]="Ei kuulu",KysymyksetTaulukko2[[#This Row],[Toimiala-
kysymys]]="Ei kuulu"), "Ei kuulu", "Kuuluu")</f>
        <v>Ei kuulu</v>
      </c>
      <c r="J8" s="3" t="str">
        <f>IF(KysymyksetTaulukko2[[#This Row],[Luokka + toimiala]]="Kuuluu","a) Oman vesilaitoksen kysymykset","b) Muut kysymykset")</f>
        <v>b) Muut kysymykset</v>
      </c>
      <c r="K8" s="9" t="s">
        <v>80</v>
      </c>
      <c r="L8" s="9" t="s">
        <v>81</v>
      </c>
      <c r="M8" s="61" t="str">
        <f>LEFT(KysymyksetTaulukko2[[#This Row],[Alakategoria_]],2)</f>
        <v>5.</v>
      </c>
      <c r="N8" s="107" t="s">
        <v>11</v>
      </c>
      <c r="O8" s="70" t="s">
        <v>206</v>
      </c>
      <c r="P8" s="67" t="str">
        <f>IF(AND(KysymyksetTaulukko2[[#This Row],[Luokka]]="Extra",KysymyksetTaulukko2[[#This Row],[Luokka + toimiala]]="Kuuluu"),"Extra","")</f>
        <v/>
      </c>
      <c r="Q8" s="114"/>
      <c r="R8" s="64" t="s">
        <v>84</v>
      </c>
      <c r="S8" s="159"/>
      <c r="T8" s="123">
        <f>IF(AND(KysymyksetTaulukko2[[#This Row],[Luokka + toimiala]]="Kuuluu",KysymyksetTaulukko2[[#This Row],[Vastaus]]="Kyllä"),1,0)</f>
        <v>0</v>
      </c>
      <c r="U8" s="121">
        <f>IF(AND(KysymyksetTaulukko2[[#This Row],[Maksimipisteet]]=1,NOT(ISBLANK(KysymyksetTaulukko2[[#This Row],[Vastaus]]))),1,0)</f>
        <v>0</v>
      </c>
      <c r="V8" s="123">
        <f>IF(OR(KysymyksetTaulukko2[[#This Row],[Luokka + toimiala]]="Ei kuulu",KysymyksetTaulukko2[[#This Row],[Vastaus]]="Ei koske",KysymyksetTaulukko2[[#This Row],[Luokka]]="Extra",KysymyksetTaulukko2[[#This Row],[Otsikkorivi]]="Kyllä"),0,1)</f>
        <v>0</v>
      </c>
    </row>
    <row r="9" spans="1:34" ht="29" x14ac:dyDescent="0.35">
      <c r="A9" s="3" t="s">
        <v>12</v>
      </c>
      <c r="B9" s="3" t="str">
        <f>IF(ISNUMBER(SEARCH("," &amp; LV!$B$10 &amp; ",", "," &amp; SUBSTITUTE(A9, " ", "")&amp; ",")),
  "Kuuluu",
  IF(AND(LV!$B$10&gt;=2,
      LV!$B$10&lt;=4,
      OR(ISNUMBER(SEARCH("," &amp;(LV!$B$10+1)&amp; ",", "," &amp; SUBSTITUTE(A9, " ", "")&amp; ",")),
        ISNUMBER(SEARCH("," &amp;(LV!$B$10+2)&amp; ",", "," &amp; SUBSTITUTE(A9, " ", "")&amp; ",")),
        ISNUMBER(SEARCH("," &amp;(LV!$B$10+3)&amp; ",", "," &amp; SUBSTITUTE(A9, " ", "")&amp; ",")),
        ISNUMBER(SEARCH("," &amp;(LV!$B$10+4)&amp; ",", "," &amp; SUBSTITUTE(A9, " ", "")&amp; ",")),
        ISNUMBER(SEARCH("," &amp;(LV!$B$10+5)&amp; ",", "," &amp; SUBSTITUTE(A9, " ", "")&amp; ",")))),
    "Extra",
    "Ei kuulu"))</f>
        <v>Ei kuulu</v>
      </c>
      <c r="C9" s="3" t="s">
        <v>28</v>
      </c>
      <c r="D9" s="3" t="str">
        <f>IF(ISNUMBER(SEARCH(LV!$I$5, Kustannustehokas_ja_organisoitu!C9)), "K", "E")</f>
        <v>E</v>
      </c>
      <c r="E9" s="3" t="str">
        <f>IF(ISNUMBER(SEARCH(LV!$I$6, Kustannustehokas_ja_organisoitu!$C9)), "K", "E")</f>
        <v>E</v>
      </c>
      <c r="F9" s="3" t="str">
        <f>IF(ISNUMBER(SEARCH(LV!$I$7, Kustannustehokas_ja_organisoitu!$C9)), "K", "E")</f>
        <v>E</v>
      </c>
      <c r="G9" s="3" t="str">
        <f>IF(ISNUMBER(SEARCH(LV!$I$8, Kustannustehokas_ja_organisoitu!$C9)), "K", "E")</f>
        <v>E</v>
      </c>
      <c r="H9" s="3" t="str">
        <f>IF(OR(KysymyksetTaulukko2[[#This Row],[Toimiala A]]="K",KysymyksetTaulukko2[[#This Row],[Toimiala B]]="K",KysymyksetTaulukko2[[#This Row],[Toimiala C]]="K",KysymyksetTaulukko2[[#This Row],[Toimiala D]]="K"),"Kuuluu","Ei kuulu")</f>
        <v>Ei kuulu</v>
      </c>
      <c r="I9" s="3" t="str">
        <f>IF(OR(KysymyksetTaulukko2[[#This Row],[Luokka]]="Ei kuulu",KysymyksetTaulukko2[[#This Row],[Toimiala-
kysymys]]="Ei kuulu"), "Ei kuulu", "Kuuluu")</f>
        <v>Ei kuulu</v>
      </c>
      <c r="J9" s="3" t="str">
        <f>IF(KysymyksetTaulukko2[[#This Row],[Luokka + toimiala]]="Kuuluu","a) Oman vesilaitoksen kysymykset","b) Muut kysymykset")</f>
        <v>b) Muut kysymykset</v>
      </c>
      <c r="K9" s="9" t="s">
        <v>80</v>
      </c>
      <c r="L9" s="9" t="s">
        <v>81</v>
      </c>
      <c r="M9" s="61" t="str">
        <f>LEFT(KysymyksetTaulukko2[[#This Row],[Alakategoria_]],2)</f>
        <v>5.</v>
      </c>
      <c r="N9" s="107" t="s">
        <v>11</v>
      </c>
      <c r="O9" s="70" t="s">
        <v>206</v>
      </c>
      <c r="P9" s="67" t="str">
        <f>IF(AND(KysymyksetTaulukko2[[#This Row],[Luokka]]="Extra",KysymyksetTaulukko2[[#This Row],[Luokka + toimiala]]="Kuuluu"),"Extra","")</f>
        <v/>
      </c>
      <c r="Q9" s="114"/>
      <c r="R9" s="64" t="s">
        <v>85</v>
      </c>
      <c r="S9" s="159"/>
      <c r="T9" s="123">
        <f>IF(AND(KysymyksetTaulukko2[[#This Row],[Luokka + toimiala]]="Kuuluu",KysymyksetTaulukko2[[#This Row],[Vastaus]]="Kyllä"),1,0)</f>
        <v>0</v>
      </c>
      <c r="U9" s="121">
        <f>IF(AND(KysymyksetTaulukko2[[#This Row],[Maksimipisteet]]=1,NOT(ISBLANK(KysymyksetTaulukko2[[#This Row],[Vastaus]]))),1,0)</f>
        <v>0</v>
      </c>
      <c r="V9" s="123">
        <f>IF(OR(KysymyksetTaulukko2[[#This Row],[Luokka + toimiala]]="Ei kuulu",KysymyksetTaulukko2[[#This Row],[Vastaus]]="Ei koske",KysymyksetTaulukko2[[#This Row],[Luokka]]="Extra",KysymyksetTaulukko2[[#This Row],[Otsikkorivi]]="Kyllä"),0,1)</f>
        <v>0</v>
      </c>
    </row>
    <row r="10" spans="1:34" ht="29" x14ac:dyDescent="0.35">
      <c r="A10" s="3" t="s">
        <v>12</v>
      </c>
      <c r="B10" s="3" t="str">
        <f>IF(ISNUMBER(SEARCH("," &amp; LV!$B$10 &amp; ",", "," &amp; SUBSTITUTE(A10, " ", "")&amp; ",")),
  "Kuuluu",
  IF(AND(LV!$B$10&gt;=2,
      LV!$B$10&lt;=4,
      OR(ISNUMBER(SEARCH("," &amp;(LV!$B$10+1)&amp; ",", "," &amp; SUBSTITUTE(A10, " ", "")&amp; ",")),
        ISNUMBER(SEARCH("," &amp;(LV!$B$10+2)&amp; ",", "," &amp; SUBSTITUTE(A10, " ", "")&amp; ",")),
        ISNUMBER(SEARCH("," &amp;(LV!$B$10+3)&amp; ",", "," &amp; SUBSTITUTE(A10, " ", "")&amp; ",")),
        ISNUMBER(SEARCH("," &amp;(LV!$B$10+4)&amp; ",", "," &amp; SUBSTITUTE(A10, " ", "")&amp; ",")),
        ISNUMBER(SEARCH("," &amp;(LV!$B$10+5)&amp; ",", "," &amp; SUBSTITUTE(A10, " ", "")&amp; ",")))),
    "Extra",
    "Ei kuulu"))</f>
        <v>Ei kuulu</v>
      </c>
      <c r="C10" s="3" t="s">
        <v>28</v>
      </c>
      <c r="D10" s="3" t="str">
        <f>IF(ISNUMBER(SEARCH(LV!$I$5, Kustannustehokas_ja_organisoitu!C10)), "K", "E")</f>
        <v>E</v>
      </c>
      <c r="E10" s="3" t="str">
        <f>IF(ISNUMBER(SEARCH(LV!$I$6, Kustannustehokas_ja_organisoitu!$C10)), "K", "E")</f>
        <v>E</v>
      </c>
      <c r="F10" s="3" t="str">
        <f>IF(ISNUMBER(SEARCH(LV!$I$7, Kustannustehokas_ja_organisoitu!$C10)), "K", "E")</f>
        <v>E</v>
      </c>
      <c r="G10" s="3" t="str">
        <f>IF(ISNUMBER(SEARCH(LV!$I$8, Kustannustehokas_ja_organisoitu!$C10)), "K", "E")</f>
        <v>E</v>
      </c>
      <c r="H10" s="3" t="str">
        <f>IF(OR(KysymyksetTaulukko2[[#This Row],[Toimiala A]]="K",KysymyksetTaulukko2[[#This Row],[Toimiala B]]="K",KysymyksetTaulukko2[[#This Row],[Toimiala C]]="K",KysymyksetTaulukko2[[#This Row],[Toimiala D]]="K"),"Kuuluu","Ei kuulu")</f>
        <v>Ei kuulu</v>
      </c>
      <c r="I10" s="3" t="str">
        <f>IF(OR(KysymyksetTaulukko2[[#This Row],[Luokka]]="Ei kuulu",KysymyksetTaulukko2[[#This Row],[Toimiala-
kysymys]]="Ei kuulu"), "Ei kuulu", "Kuuluu")</f>
        <v>Ei kuulu</v>
      </c>
      <c r="J10" s="3" t="str">
        <f>IF(KysymyksetTaulukko2[[#This Row],[Luokka + toimiala]]="Kuuluu","a) Oman vesilaitoksen kysymykset","b) Muut kysymykset")</f>
        <v>b) Muut kysymykset</v>
      </c>
      <c r="K10" s="9" t="s">
        <v>80</v>
      </c>
      <c r="L10" s="9" t="s">
        <v>81</v>
      </c>
      <c r="M10" s="61" t="str">
        <f>LEFT(KysymyksetTaulukko2[[#This Row],[Alakategoria_]],2)</f>
        <v>5.</v>
      </c>
      <c r="N10" s="107" t="s">
        <v>11</v>
      </c>
      <c r="O10" s="70" t="s">
        <v>206</v>
      </c>
      <c r="P10" s="67" t="str">
        <f>IF(AND(KysymyksetTaulukko2[[#This Row],[Luokka]]="Extra",KysymyksetTaulukko2[[#This Row],[Luokka + toimiala]]="Kuuluu"),"Extra","")</f>
        <v/>
      </c>
      <c r="Q10" s="114"/>
      <c r="R10" s="64" t="s">
        <v>86</v>
      </c>
      <c r="S10" s="159"/>
      <c r="T10" s="123">
        <f>IF(AND(KysymyksetTaulukko2[[#This Row],[Luokka + toimiala]]="Kuuluu",KysymyksetTaulukko2[[#This Row],[Vastaus]]="Kyllä"),1,0)</f>
        <v>0</v>
      </c>
      <c r="U10" s="121">
        <f>IF(AND(KysymyksetTaulukko2[[#This Row],[Maksimipisteet]]=1,NOT(ISBLANK(KysymyksetTaulukko2[[#This Row],[Vastaus]]))),1,0)</f>
        <v>0</v>
      </c>
      <c r="V10" s="123">
        <f>IF(OR(KysymyksetTaulukko2[[#This Row],[Luokka + toimiala]]="Ei kuulu",KysymyksetTaulukko2[[#This Row],[Vastaus]]="Ei koske",KysymyksetTaulukko2[[#This Row],[Luokka]]="Extra",KysymyksetTaulukko2[[#This Row],[Otsikkorivi]]="Kyllä"),0,1)</f>
        <v>0</v>
      </c>
    </row>
    <row r="11" spans="1:34" ht="29" x14ac:dyDescent="0.35">
      <c r="A11" s="3">
        <v>4</v>
      </c>
      <c r="B11" s="3" t="str">
        <f>IF(ISNUMBER(SEARCH("," &amp; LV!$B$10 &amp; ",", "," &amp; SUBSTITUTE(A11, " ", "")&amp; ",")),
  "Kuuluu",
  IF(AND(LV!$B$10&gt;=2,
      LV!$B$10&lt;=4,
      OR(ISNUMBER(SEARCH("," &amp;(LV!$B$10+1)&amp; ",", "," &amp; SUBSTITUTE(A11, " ", "")&amp; ",")),
        ISNUMBER(SEARCH("," &amp;(LV!$B$10+2)&amp; ",", "," &amp; SUBSTITUTE(A11, " ", "")&amp; ",")),
        ISNUMBER(SEARCH("," &amp;(LV!$B$10+3)&amp; ",", "," &amp; SUBSTITUTE(A11, " ", "")&amp; ",")),
        ISNUMBER(SEARCH("," &amp;(LV!$B$10+4)&amp; ",", "," &amp; SUBSTITUTE(A11, " ", "")&amp; ",")),
        ISNUMBER(SEARCH("," &amp;(LV!$B$10+5)&amp; ",", "," &amp; SUBSTITUTE(A11, " ", "")&amp; ",")))),
    "Extra",
    "Ei kuulu"))</f>
        <v>Ei kuulu</v>
      </c>
      <c r="C11" s="3" t="s">
        <v>28</v>
      </c>
      <c r="D11" s="3" t="str">
        <f>IF(ISNUMBER(SEARCH(LV!$I$5, Kustannustehokas_ja_organisoitu!C11)), "K", "E")</f>
        <v>E</v>
      </c>
      <c r="E11" s="3" t="str">
        <f>IF(ISNUMBER(SEARCH(LV!$I$6, Kustannustehokas_ja_organisoitu!$C11)), "K", "E")</f>
        <v>E</v>
      </c>
      <c r="F11" s="3" t="str">
        <f>IF(ISNUMBER(SEARCH(LV!$I$7, Kustannustehokas_ja_organisoitu!$C11)), "K", "E")</f>
        <v>E</v>
      </c>
      <c r="G11" s="3" t="str">
        <f>IF(ISNUMBER(SEARCH(LV!$I$8, Kustannustehokas_ja_organisoitu!$C11)), "K", "E")</f>
        <v>E</v>
      </c>
      <c r="H11" s="3" t="str">
        <f>IF(OR(KysymyksetTaulukko2[[#This Row],[Toimiala A]]="K",KysymyksetTaulukko2[[#This Row],[Toimiala B]]="K",KysymyksetTaulukko2[[#This Row],[Toimiala C]]="K",KysymyksetTaulukko2[[#This Row],[Toimiala D]]="K"),"Kuuluu","Ei kuulu")</f>
        <v>Ei kuulu</v>
      </c>
      <c r="I11" s="3" t="str">
        <f>IF(OR(KysymyksetTaulukko2[[#This Row],[Luokka]]="Ei kuulu",KysymyksetTaulukko2[[#This Row],[Toimiala-
kysymys]]="Ei kuulu"), "Ei kuulu", "Kuuluu")</f>
        <v>Ei kuulu</v>
      </c>
      <c r="J11" s="3" t="str">
        <f>IF(KysymyksetTaulukko2[[#This Row],[Luokka + toimiala]]="Kuuluu","a) Oman vesilaitoksen kysymykset","b) Muut kysymykset")</f>
        <v>b) Muut kysymykset</v>
      </c>
      <c r="K11" s="9" t="s">
        <v>80</v>
      </c>
      <c r="L11" s="9" t="s">
        <v>81</v>
      </c>
      <c r="M11" s="61" t="str">
        <f>LEFT(KysymyksetTaulukko2[[#This Row],[Alakategoria_]],2)</f>
        <v>5.</v>
      </c>
      <c r="N11" s="107"/>
      <c r="O11" s="70" t="s">
        <v>222</v>
      </c>
      <c r="P11" s="67" t="str">
        <f>IF(AND(KysymyksetTaulukko2[[#This Row],[Luokka]]="Extra",KysymyksetTaulukko2[[#This Row],[Luokka + toimiala]]="Kuuluu"),"Extra","")</f>
        <v/>
      </c>
      <c r="Q11" s="114"/>
      <c r="R11" s="64" t="s">
        <v>87</v>
      </c>
      <c r="S11" s="159"/>
      <c r="T11" s="123">
        <f>IF(AND(KysymyksetTaulukko2[[#This Row],[Luokka + toimiala]]="Kuuluu",KysymyksetTaulukko2[[#This Row],[Vastaus]]="Kyllä"),1,0)</f>
        <v>0</v>
      </c>
      <c r="U11" s="121">
        <f>IF(AND(KysymyksetTaulukko2[[#This Row],[Maksimipisteet]]=1,NOT(ISBLANK(KysymyksetTaulukko2[[#This Row],[Vastaus]]))),1,0)</f>
        <v>0</v>
      </c>
      <c r="V11" s="123">
        <f>IF(OR(KysymyksetTaulukko2[[#This Row],[Luokka + toimiala]]="Ei kuulu",KysymyksetTaulukko2[[#This Row],[Vastaus]]="Ei koske",KysymyksetTaulukko2[[#This Row],[Luokka]]="Extra",KysymyksetTaulukko2[[#This Row],[Otsikkorivi]]="Kyllä"),0,1)</f>
        <v>0</v>
      </c>
    </row>
    <row r="12" spans="1:34" ht="28.5" x14ac:dyDescent="0.35">
      <c r="A12" s="3" t="s">
        <v>6</v>
      </c>
      <c r="B12" s="3" t="str">
        <f>IF(ISNUMBER(SEARCH("," &amp; LV!$B$10 &amp; ",", "," &amp; SUBSTITUTE(A12, " ", "")&amp; ",")),
  "Kuuluu",
  IF(AND(LV!$B$10&gt;=2,
      LV!$B$10&lt;=4,
      OR(ISNUMBER(SEARCH("," &amp;(LV!$B$10+1)&amp; ",", "," &amp; SUBSTITUTE(A12, " ", "")&amp; ",")),
        ISNUMBER(SEARCH("," &amp;(LV!$B$10+2)&amp; ",", "," &amp; SUBSTITUTE(A12, " ", "")&amp; ",")),
        ISNUMBER(SEARCH("," &amp;(LV!$B$10+3)&amp; ",", "," &amp; SUBSTITUTE(A12, " ", "")&amp; ",")),
        ISNUMBER(SEARCH("," &amp;(LV!$B$10+4)&amp; ",", "," &amp; SUBSTITUTE(A12, " ", "")&amp; ",")),
        ISNUMBER(SEARCH("," &amp;(LV!$B$10+5)&amp; ",", "," &amp; SUBSTITUTE(A12, " ", "")&amp; ",")))),
    "Extra",
    "Ei kuulu"))</f>
        <v>Ei kuulu</v>
      </c>
      <c r="C12" s="3" t="s">
        <v>28</v>
      </c>
      <c r="D12" s="3" t="str">
        <f>IF(ISNUMBER(SEARCH(LV!$I$5, Kustannustehokas_ja_organisoitu!C12)), "K", "E")</f>
        <v>E</v>
      </c>
      <c r="E12" s="3" t="str">
        <f>IF(ISNUMBER(SEARCH(LV!$I$6, Kustannustehokas_ja_organisoitu!$C12)), "K", "E")</f>
        <v>E</v>
      </c>
      <c r="F12" s="3" t="str">
        <f>IF(ISNUMBER(SEARCH(LV!$I$7, Kustannustehokas_ja_organisoitu!$C12)), "K", "E")</f>
        <v>E</v>
      </c>
      <c r="G12" s="3" t="str">
        <f>IF(ISNUMBER(SEARCH(LV!$I$8, Kustannustehokas_ja_organisoitu!$C12)), "K", "E")</f>
        <v>E</v>
      </c>
      <c r="H12" s="3" t="str">
        <f>IF(OR(KysymyksetTaulukko2[[#This Row],[Toimiala A]]="K",KysymyksetTaulukko2[[#This Row],[Toimiala B]]="K",KysymyksetTaulukko2[[#This Row],[Toimiala C]]="K",KysymyksetTaulukko2[[#This Row],[Toimiala D]]="K"),"Kuuluu","Ei kuulu")</f>
        <v>Ei kuulu</v>
      </c>
      <c r="I12" s="3" t="str">
        <f>IF(OR(KysymyksetTaulukko2[[#This Row],[Luokka]]="Ei kuulu",KysymyksetTaulukko2[[#This Row],[Toimiala-
kysymys]]="Ei kuulu"), "Ei kuulu", "Kuuluu")</f>
        <v>Ei kuulu</v>
      </c>
      <c r="J12" s="3" t="str">
        <f>IF(KysymyksetTaulukko2[[#This Row],[Luokka + toimiala]]="Kuuluu","a) Oman vesilaitoksen kysymykset","b) Muut kysymykset")</f>
        <v>b) Muut kysymykset</v>
      </c>
      <c r="K12" s="9" t="s">
        <v>80</v>
      </c>
      <c r="L12" s="9" t="s">
        <v>241</v>
      </c>
      <c r="M12" s="61" t="str">
        <f>LEFT(KysymyksetTaulukko2[[#This Row],[Alakategoria_]],2)</f>
        <v>_O</v>
      </c>
      <c r="N12" s="107"/>
      <c r="O12" s="70"/>
      <c r="P12" s="67" t="str">
        <f>IF(AND(KysymyksetTaulukko2[[#This Row],[Luokka]]="Extra",KysymyksetTaulukko2[[#This Row],[Luokka + toimiala]]="Kuuluu"),"Extra","")</f>
        <v/>
      </c>
      <c r="Q12" s="114" t="s">
        <v>177</v>
      </c>
      <c r="R12" s="128" t="s">
        <v>88</v>
      </c>
      <c r="S12" s="158"/>
      <c r="T12" s="123">
        <f>IF(AND(KysymyksetTaulukko2[[#This Row],[Luokka + toimiala]]="Kuuluu",KysymyksetTaulukko2[[#This Row],[Vastaus]]="Kyllä"),1,0)</f>
        <v>0</v>
      </c>
      <c r="U12" s="121">
        <f>IF(AND(KysymyksetTaulukko2[[#This Row],[Maksimipisteet]]=1,NOT(ISBLANK(KysymyksetTaulukko2[[#This Row],[Vastaus]]))),1,0)</f>
        <v>0</v>
      </c>
      <c r="V12" s="123">
        <f>IF(OR(KysymyksetTaulukko2[[#This Row],[Luokka + toimiala]]="Ei kuulu",KysymyksetTaulukko2[[#This Row],[Vastaus]]="Ei koske",KysymyksetTaulukko2[[#This Row],[Luokka]]="Extra",KysymyksetTaulukko2[[#This Row],[Otsikkorivi]]="Kyllä"),0,1)</f>
        <v>0</v>
      </c>
    </row>
    <row r="13" spans="1:34" ht="43.5" x14ac:dyDescent="0.35">
      <c r="A13" s="3">
        <v>1.2</v>
      </c>
      <c r="B13" s="3" t="str">
        <f>IF(ISNUMBER(SEARCH("," &amp; LV!$B$10 &amp; ",", "," &amp; SUBSTITUTE(A13, " ", "")&amp; ",")),
  "Kuuluu",
  IF(AND(LV!$B$10&gt;=2,
      LV!$B$10&lt;=4,
      OR(ISNUMBER(SEARCH("," &amp;(LV!$B$10+1)&amp; ",", "," &amp; SUBSTITUTE(A13, " ", "")&amp; ",")),
        ISNUMBER(SEARCH("," &amp;(LV!$B$10+2)&amp; ",", "," &amp; SUBSTITUTE(A13, " ", "")&amp; ",")),
        ISNUMBER(SEARCH("," &amp;(LV!$B$10+3)&amp; ",", "," &amp; SUBSTITUTE(A13, " ", "")&amp; ",")),
        ISNUMBER(SEARCH("," &amp;(LV!$B$10+4)&amp; ",", "," &amp; SUBSTITUTE(A13, " ", "")&amp; ",")),
        ISNUMBER(SEARCH("," &amp;(LV!$B$10+5)&amp; ",", "," &amp; SUBSTITUTE(A13, " ", "")&amp; ",")))),
    "Extra",
    "Ei kuulu"))</f>
        <v>Ei kuulu</v>
      </c>
      <c r="C13" s="3" t="s">
        <v>28</v>
      </c>
      <c r="D13" s="3" t="str">
        <f>IF(ISNUMBER(SEARCH(LV!$I$5, Kustannustehokas_ja_organisoitu!C13)), "K", "E")</f>
        <v>E</v>
      </c>
      <c r="E13" s="3" t="str">
        <f>IF(ISNUMBER(SEARCH(LV!$I$6, Kustannustehokas_ja_organisoitu!$C13)), "K", "E")</f>
        <v>E</v>
      </c>
      <c r="F13" s="3" t="str">
        <f>IF(ISNUMBER(SEARCH(LV!$I$7, Kustannustehokas_ja_organisoitu!$C13)), "K", "E")</f>
        <v>E</v>
      </c>
      <c r="G13" s="3" t="str">
        <f>IF(ISNUMBER(SEARCH(LV!$I$8, Kustannustehokas_ja_organisoitu!$C13)), "K", "E")</f>
        <v>E</v>
      </c>
      <c r="H13" s="3" t="str">
        <f>IF(OR(KysymyksetTaulukko2[[#This Row],[Toimiala A]]="K",KysymyksetTaulukko2[[#This Row],[Toimiala B]]="K",KysymyksetTaulukko2[[#This Row],[Toimiala C]]="K",KysymyksetTaulukko2[[#This Row],[Toimiala D]]="K"),"Kuuluu","Ei kuulu")</f>
        <v>Ei kuulu</v>
      </c>
      <c r="I13" s="3" t="str">
        <f>IF(OR(KysymyksetTaulukko2[[#This Row],[Luokka]]="Ei kuulu",KysymyksetTaulukko2[[#This Row],[Toimiala-
kysymys]]="Ei kuulu"), "Ei kuulu", "Kuuluu")</f>
        <v>Ei kuulu</v>
      </c>
      <c r="J13" s="3" t="str">
        <f>IF(KysymyksetTaulukko2[[#This Row],[Luokka + toimiala]]="Kuuluu","a) Oman vesilaitoksen kysymykset","b) Muut kysymykset")</f>
        <v>b) Muut kysymykset</v>
      </c>
      <c r="K13" s="9" t="s">
        <v>80</v>
      </c>
      <c r="L13" s="9" t="s">
        <v>88</v>
      </c>
      <c r="M13" s="61" t="str">
        <f>LEFT(KysymyksetTaulukko2[[#This Row],[Alakategoria_]],2)</f>
        <v>6.</v>
      </c>
      <c r="N13" s="107"/>
      <c r="O13" s="70" t="s">
        <v>222</v>
      </c>
      <c r="P13" s="67" t="str">
        <f>IF(AND(KysymyksetTaulukko2[[#This Row],[Luokka]]="Extra",KysymyksetTaulukko2[[#This Row],[Luokka + toimiala]]="Kuuluu"),"Extra","")</f>
        <v/>
      </c>
      <c r="Q13" s="114"/>
      <c r="R13" s="64" t="s">
        <v>89</v>
      </c>
      <c r="S13" s="159"/>
      <c r="T13" s="123">
        <f>IF(AND(KysymyksetTaulukko2[[#This Row],[Luokka + toimiala]]="Kuuluu",KysymyksetTaulukko2[[#This Row],[Vastaus]]="Kyllä"),1,0)</f>
        <v>0</v>
      </c>
      <c r="U13" s="121">
        <f>IF(AND(KysymyksetTaulukko2[[#This Row],[Maksimipisteet]]=1,NOT(ISBLANK(KysymyksetTaulukko2[[#This Row],[Vastaus]]))),1,0)</f>
        <v>0</v>
      </c>
      <c r="V13" s="123">
        <f>IF(OR(KysymyksetTaulukko2[[#This Row],[Luokka + toimiala]]="Ei kuulu",KysymyksetTaulukko2[[#This Row],[Vastaus]]="Ei koske",KysymyksetTaulukko2[[#This Row],[Luokka]]="Extra",KysymyksetTaulukko2[[#This Row],[Otsikkorivi]]="Kyllä"),0,1)</f>
        <v>0</v>
      </c>
    </row>
    <row r="14" spans="1:34" ht="43.5" x14ac:dyDescent="0.35">
      <c r="A14" s="3">
        <v>3.4</v>
      </c>
      <c r="B14" s="3" t="str">
        <f>IF(ISNUMBER(SEARCH("," &amp; LV!$B$10 &amp; ",", "," &amp; SUBSTITUTE(A14, " ", "")&amp; ",")),
  "Kuuluu",
  IF(AND(LV!$B$10&gt;=2,
      LV!$B$10&lt;=4,
      OR(ISNUMBER(SEARCH("," &amp;(LV!$B$10+1)&amp; ",", "," &amp; SUBSTITUTE(A14, " ", "")&amp; ",")),
        ISNUMBER(SEARCH("," &amp;(LV!$B$10+2)&amp; ",", "," &amp; SUBSTITUTE(A14, " ", "")&amp; ",")),
        ISNUMBER(SEARCH("," &amp;(LV!$B$10+3)&amp; ",", "," &amp; SUBSTITUTE(A14, " ", "")&amp; ",")),
        ISNUMBER(SEARCH("," &amp;(LV!$B$10+4)&amp; ",", "," &amp; SUBSTITUTE(A14, " ", "")&amp; ",")),
        ISNUMBER(SEARCH("," &amp;(LV!$B$10+5)&amp; ",", "," &amp; SUBSTITUTE(A14, " ", "")&amp; ",")))),
    "Extra",
    "Ei kuulu"))</f>
        <v>Ei kuulu</v>
      </c>
      <c r="C14" s="3" t="s">
        <v>28</v>
      </c>
      <c r="D14" s="3" t="str">
        <f>IF(ISNUMBER(SEARCH(LV!$I$5, Kustannustehokas_ja_organisoitu!C14)), "K", "E")</f>
        <v>E</v>
      </c>
      <c r="E14" s="3" t="str">
        <f>IF(ISNUMBER(SEARCH(LV!$I$6, Kustannustehokas_ja_organisoitu!$C14)), "K", "E")</f>
        <v>E</v>
      </c>
      <c r="F14" s="3" t="str">
        <f>IF(ISNUMBER(SEARCH(LV!$I$7, Kustannustehokas_ja_organisoitu!$C14)), "K", "E")</f>
        <v>E</v>
      </c>
      <c r="G14" s="3" t="str">
        <f>IF(ISNUMBER(SEARCH(LV!$I$8, Kustannustehokas_ja_organisoitu!$C14)), "K", "E")</f>
        <v>E</v>
      </c>
      <c r="H14" s="3" t="str">
        <f>IF(OR(KysymyksetTaulukko2[[#This Row],[Toimiala A]]="K",KysymyksetTaulukko2[[#This Row],[Toimiala B]]="K",KysymyksetTaulukko2[[#This Row],[Toimiala C]]="K",KysymyksetTaulukko2[[#This Row],[Toimiala D]]="K"),"Kuuluu","Ei kuulu")</f>
        <v>Ei kuulu</v>
      </c>
      <c r="I14" s="3" t="str">
        <f>IF(OR(KysymyksetTaulukko2[[#This Row],[Luokka]]="Ei kuulu",KysymyksetTaulukko2[[#This Row],[Toimiala-
kysymys]]="Ei kuulu"), "Ei kuulu", "Kuuluu")</f>
        <v>Ei kuulu</v>
      </c>
      <c r="J14" s="3" t="str">
        <f>IF(KysymyksetTaulukko2[[#This Row],[Luokka + toimiala]]="Kuuluu","a) Oman vesilaitoksen kysymykset","b) Muut kysymykset")</f>
        <v>b) Muut kysymykset</v>
      </c>
      <c r="K14" s="9" t="s">
        <v>80</v>
      </c>
      <c r="L14" s="9" t="s">
        <v>88</v>
      </c>
      <c r="M14" s="61" t="str">
        <f>LEFT(KysymyksetTaulukko2[[#This Row],[Alakategoria_]],2)</f>
        <v>6.</v>
      </c>
      <c r="N14" s="107"/>
      <c r="O14" s="70" t="s">
        <v>222</v>
      </c>
      <c r="P14" s="67" t="str">
        <f>IF(AND(KysymyksetTaulukko2[[#This Row],[Luokka]]="Extra",KysymyksetTaulukko2[[#This Row],[Luokka + toimiala]]="Kuuluu"),"Extra","")</f>
        <v/>
      </c>
      <c r="Q14" s="114"/>
      <c r="R14" s="64" t="s">
        <v>90</v>
      </c>
      <c r="S14" s="159"/>
      <c r="T14" s="123">
        <f>IF(AND(KysymyksetTaulukko2[[#This Row],[Luokka + toimiala]]="Kuuluu",KysymyksetTaulukko2[[#This Row],[Vastaus]]="Kyllä"),1,0)</f>
        <v>0</v>
      </c>
      <c r="U14" s="121">
        <f>IF(AND(KysymyksetTaulukko2[[#This Row],[Maksimipisteet]]=1,NOT(ISBLANK(KysymyksetTaulukko2[[#This Row],[Vastaus]]))),1,0)</f>
        <v>0</v>
      </c>
      <c r="V14" s="123">
        <f>IF(OR(KysymyksetTaulukko2[[#This Row],[Luokka + toimiala]]="Ei kuulu",KysymyksetTaulukko2[[#This Row],[Vastaus]]="Ei koske",KysymyksetTaulukko2[[#This Row],[Luokka]]="Extra",KysymyksetTaulukko2[[#This Row],[Otsikkorivi]]="Kyllä"),0,1)</f>
        <v>0</v>
      </c>
    </row>
    <row r="15" spans="1:34" ht="28.5" x14ac:dyDescent="0.35">
      <c r="A15" s="3">
        <v>1.2</v>
      </c>
      <c r="B15" s="3" t="str">
        <f>IF(ISNUMBER(SEARCH("," &amp; LV!$B$10 &amp; ",", "," &amp; SUBSTITUTE(A15, " ", "")&amp; ",")),
  "Kuuluu",
  IF(AND(LV!$B$10&gt;=2,
      LV!$B$10&lt;=4,
      OR(ISNUMBER(SEARCH("," &amp;(LV!$B$10+1)&amp; ",", "," &amp; SUBSTITUTE(A15, " ", "")&amp; ",")),
        ISNUMBER(SEARCH("," &amp;(LV!$B$10+2)&amp; ",", "," &amp; SUBSTITUTE(A15, " ", "")&amp; ",")),
        ISNUMBER(SEARCH("," &amp;(LV!$B$10+3)&amp; ",", "," &amp; SUBSTITUTE(A15, " ", "")&amp; ",")),
        ISNUMBER(SEARCH("," &amp;(LV!$B$10+4)&amp; ",", "," &amp; SUBSTITUTE(A15, " ", "")&amp; ",")),
        ISNUMBER(SEARCH("," &amp;(LV!$B$10+5)&amp; ",", "," &amp; SUBSTITUTE(A15, " ", "")&amp; ",")))),
    "Extra",
    "Ei kuulu"))</f>
        <v>Ei kuulu</v>
      </c>
      <c r="C15" s="3" t="s">
        <v>28</v>
      </c>
      <c r="D15" s="3" t="str">
        <f>IF(ISNUMBER(SEARCH(LV!$I$5, Kustannustehokas_ja_organisoitu!C15)), "K", "E")</f>
        <v>E</v>
      </c>
      <c r="E15" s="3" t="str">
        <f>IF(ISNUMBER(SEARCH(LV!$I$6, Kustannustehokas_ja_organisoitu!$C15)), "K", "E")</f>
        <v>E</v>
      </c>
      <c r="F15" s="3" t="str">
        <f>IF(ISNUMBER(SEARCH(LV!$I$7, Kustannustehokas_ja_organisoitu!$C15)), "K", "E")</f>
        <v>E</v>
      </c>
      <c r="G15" s="3" t="str">
        <f>IF(ISNUMBER(SEARCH(LV!$I$8, Kustannustehokas_ja_organisoitu!$C15)), "K", "E")</f>
        <v>E</v>
      </c>
      <c r="H15" s="3" t="str">
        <f>IF(OR(KysymyksetTaulukko2[[#This Row],[Toimiala A]]="K",KysymyksetTaulukko2[[#This Row],[Toimiala B]]="K",KysymyksetTaulukko2[[#This Row],[Toimiala C]]="K",KysymyksetTaulukko2[[#This Row],[Toimiala D]]="K"),"Kuuluu","Ei kuulu")</f>
        <v>Ei kuulu</v>
      </c>
      <c r="I15" s="3" t="str">
        <f>IF(OR(KysymyksetTaulukko2[[#This Row],[Luokka]]="Ei kuulu",KysymyksetTaulukko2[[#This Row],[Toimiala-
kysymys]]="Ei kuulu"), "Ei kuulu", "Kuuluu")</f>
        <v>Ei kuulu</v>
      </c>
      <c r="J15" s="3" t="str">
        <f>IF(KysymyksetTaulukko2[[#This Row],[Luokka + toimiala]]="Kuuluu","a) Oman vesilaitoksen kysymykset","b) Muut kysymykset")</f>
        <v>b) Muut kysymykset</v>
      </c>
      <c r="K15" s="9" t="s">
        <v>80</v>
      </c>
      <c r="L15" s="9" t="s">
        <v>88</v>
      </c>
      <c r="M15" s="61" t="str">
        <f>LEFT(KysymyksetTaulukko2[[#This Row],[Alakategoria_]],2)</f>
        <v>6.</v>
      </c>
      <c r="N15" s="107"/>
      <c r="O15" s="70" t="s">
        <v>222</v>
      </c>
      <c r="P15" s="67" t="str">
        <f>IF(AND(KysymyksetTaulukko2[[#This Row],[Luokka]]="Extra",KysymyksetTaulukko2[[#This Row],[Luokka + toimiala]]="Kuuluu"),"Extra","")</f>
        <v/>
      </c>
      <c r="Q15" s="114"/>
      <c r="R15" s="64" t="s">
        <v>91</v>
      </c>
      <c r="S15" s="159"/>
      <c r="T15" s="123">
        <f>IF(AND(KysymyksetTaulukko2[[#This Row],[Luokka + toimiala]]="Kuuluu",KysymyksetTaulukko2[[#This Row],[Vastaus]]="Kyllä"),1,0)</f>
        <v>0</v>
      </c>
      <c r="U15" s="121">
        <f>IF(AND(KysymyksetTaulukko2[[#This Row],[Maksimipisteet]]=1,NOT(ISBLANK(KysymyksetTaulukko2[[#This Row],[Vastaus]]))),1,0)</f>
        <v>0</v>
      </c>
      <c r="V15" s="123">
        <f>IF(OR(KysymyksetTaulukko2[[#This Row],[Luokka + toimiala]]="Ei kuulu",KysymyksetTaulukko2[[#This Row],[Vastaus]]="Ei koske",KysymyksetTaulukko2[[#This Row],[Luokka]]="Extra",KysymyksetTaulukko2[[#This Row],[Otsikkorivi]]="Kyllä"),0,1)</f>
        <v>0</v>
      </c>
    </row>
    <row r="16" spans="1:34" ht="29" x14ac:dyDescent="0.35">
      <c r="A16" s="3">
        <v>3.4</v>
      </c>
      <c r="B16" s="3" t="str">
        <f>IF(ISNUMBER(SEARCH("," &amp; LV!$B$10 &amp; ",", "," &amp; SUBSTITUTE(A16, " ", "")&amp; ",")),
  "Kuuluu",
  IF(AND(LV!$B$10&gt;=2,
      LV!$B$10&lt;=4,
      OR(ISNUMBER(SEARCH("," &amp;(LV!$B$10+1)&amp; ",", "," &amp; SUBSTITUTE(A16, " ", "")&amp; ",")),
        ISNUMBER(SEARCH("," &amp;(LV!$B$10+2)&amp; ",", "," &amp; SUBSTITUTE(A16, " ", "")&amp; ",")),
        ISNUMBER(SEARCH("," &amp;(LV!$B$10+3)&amp; ",", "," &amp; SUBSTITUTE(A16, " ", "")&amp; ",")),
        ISNUMBER(SEARCH("," &amp;(LV!$B$10+4)&amp; ",", "," &amp; SUBSTITUTE(A16, " ", "")&amp; ",")),
        ISNUMBER(SEARCH("," &amp;(LV!$B$10+5)&amp; ",", "," &amp; SUBSTITUTE(A16, " ", "")&amp; ",")))),
    "Extra",
    "Ei kuulu"))</f>
        <v>Ei kuulu</v>
      </c>
      <c r="C16" s="3" t="s">
        <v>28</v>
      </c>
      <c r="D16" s="3" t="str">
        <f>IF(ISNUMBER(SEARCH(LV!$I$5, Kustannustehokas_ja_organisoitu!C16)), "K", "E")</f>
        <v>E</v>
      </c>
      <c r="E16" s="3" t="str">
        <f>IF(ISNUMBER(SEARCH(LV!$I$6, Kustannustehokas_ja_organisoitu!$C16)), "K", "E")</f>
        <v>E</v>
      </c>
      <c r="F16" s="3" t="str">
        <f>IF(ISNUMBER(SEARCH(LV!$I$7, Kustannustehokas_ja_organisoitu!$C16)), "K", "E")</f>
        <v>E</v>
      </c>
      <c r="G16" s="3" t="str">
        <f>IF(ISNUMBER(SEARCH(LV!$I$8, Kustannustehokas_ja_organisoitu!$C16)), "K", "E")</f>
        <v>E</v>
      </c>
      <c r="H16" s="3" t="str">
        <f>IF(OR(KysymyksetTaulukko2[[#This Row],[Toimiala A]]="K",KysymyksetTaulukko2[[#This Row],[Toimiala B]]="K",KysymyksetTaulukko2[[#This Row],[Toimiala C]]="K",KysymyksetTaulukko2[[#This Row],[Toimiala D]]="K"),"Kuuluu","Ei kuulu")</f>
        <v>Ei kuulu</v>
      </c>
      <c r="I16" s="3" t="str">
        <f>IF(OR(KysymyksetTaulukko2[[#This Row],[Luokka]]="Ei kuulu",KysymyksetTaulukko2[[#This Row],[Toimiala-
kysymys]]="Ei kuulu"), "Ei kuulu", "Kuuluu")</f>
        <v>Ei kuulu</v>
      </c>
      <c r="J16" s="3" t="str">
        <f>IF(KysymyksetTaulukko2[[#This Row],[Luokka + toimiala]]="Kuuluu","a) Oman vesilaitoksen kysymykset","b) Muut kysymykset")</f>
        <v>b) Muut kysymykset</v>
      </c>
      <c r="K16" s="9" t="s">
        <v>80</v>
      </c>
      <c r="L16" s="9" t="s">
        <v>88</v>
      </c>
      <c r="M16" s="61" t="str">
        <f>LEFT(KysymyksetTaulukko2[[#This Row],[Alakategoria_]],2)</f>
        <v>6.</v>
      </c>
      <c r="N16" s="107"/>
      <c r="O16" s="70" t="s">
        <v>222</v>
      </c>
      <c r="P16" s="67" t="str">
        <f>IF(AND(KysymyksetTaulukko2[[#This Row],[Luokka]]="Extra",KysymyksetTaulukko2[[#This Row],[Luokka + toimiala]]="Kuuluu"),"Extra","")</f>
        <v/>
      </c>
      <c r="Q16" s="114"/>
      <c r="R16" s="64" t="s">
        <v>92</v>
      </c>
      <c r="S16" s="159"/>
      <c r="T16" s="123">
        <f>IF(AND(KysymyksetTaulukko2[[#This Row],[Luokka + toimiala]]="Kuuluu",KysymyksetTaulukko2[[#This Row],[Vastaus]]="Kyllä"),1,0)</f>
        <v>0</v>
      </c>
      <c r="U16" s="121">
        <f>IF(AND(KysymyksetTaulukko2[[#This Row],[Maksimipisteet]]=1,NOT(ISBLANK(KysymyksetTaulukko2[[#This Row],[Vastaus]]))),1,0)</f>
        <v>0</v>
      </c>
      <c r="V16" s="123">
        <f>IF(OR(KysymyksetTaulukko2[[#This Row],[Luokka + toimiala]]="Ei kuulu",KysymyksetTaulukko2[[#This Row],[Vastaus]]="Ei koske",KysymyksetTaulukko2[[#This Row],[Luokka]]="Extra",KysymyksetTaulukko2[[#This Row],[Otsikkorivi]]="Kyllä"),0,1)</f>
        <v>0</v>
      </c>
    </row>
    <row r="17" spans="1:22" ht="43.5" x14ac:dyDescent="0.35">
      <c r="A17" s="3" t="s">
        <v>12</v>
      </c>
      <c r="B17" s="3" t="str">
        <f>IF(ISNUMBER(SEARCH("," &amp; LV!$B$10 &amp; ",", "," &amp; SUBSTITUTE(A17, " ", "")&amp; ",")),
  "Kuuluu",
  IF(AND(LV!$B$10&gt;=2,
      LV!$B$10&lt;=4,
      OR(ISNUMBER(SEARCH("," &amp;(LV!$B$10+1)&amp; ",", "," &amp; SUBSTITUTE(A17, " ", "")&amp; ",")),
        ISNUMBER(SEARCH("," &amp;(LV!$B$10+2)&amp; ",", "," &amp; SUBSTITUTE(A17, " ", "")&amp; ",")),
        ISNUMBER(SEARCH("," &amp;(LV!$B$10+3)&amp; ",", "," &amp; SUBSTITUTE(A17, " ", "")&amp; ",")),
        ISNUMBER(SEARCH("," &amp;(LV!$B$10+4)&amp; ",", "," &amp; SUBSTITUTE(A17, " ", "")&amp; ",")),
        ISNUMBER(SEARCH("," &amp;(LV!$B$10+5)&amp; ",", "," &amp; SUBSTITUTE(A17, " ", "")&amp; ",")))),
    "Extra",
    "Ei kuulu"))</f>
        <v>Ei kuulu</v>
      </c>
      <c r="C17" s="3" t="s">
        <v>28</v>
      </c>
      <c r="D17" s="3" t="str">
        <f>IF(ISNUMBER(SEARCH(LV!$I$5, Kustannustehokas_ja_organisoitu!C17)), "K", "E")</f>
        <v>E</v>
      </c>
      <c r="E17" s="3" t="str">
        <f>IF(ISNUMBER(SEARCH(LV!$I$6, Kustannustehokas_ja_organisoitu!$C17)), "K", "E")</f>
        <v>E</v>
      </c>
      <c r="F17" s="3" t="str">
        <f>IF(ISNUMBER(SEARCH(LV!$I$7, Kustannustehokas_ja_organisoitu!$C17)), "K", "E")</f>
        <v>E</v>
      </c>
      <c r="G17" s="3" t="str">
        <f>IF(ISNUMBER(SEARCH(LV!$I$8, Kustannustehokas_ja_organisoitu!$C17)), "K", "E")</f>
        <v>E</v>
      </c>
      <c r="H17" s="3" t="str">
        <f>IF(OR(KysymyksetTaulukko2[[#This Row],[Toimiala A]]="K",KysymyksetTaulukko2[[#This Row],[Toimiala B]]="K",KysymyksetTaulukko2[[#This Row],[Toimiala C]]="K",KysymyksetTaulukko2[[#This Row],[Toimiala D]]="K"),"Kuuluu","Ei kuulu")</f>
        <v>Ei kuulu</v>
      </c>
      <c r="I17" s="3" t="str">
        <f>IF(OR(KysymyksetTaulukko2[[#This Row],[Luokka]]="Ei kuulu",KysymyksetTaulukko2[[#This Row],[Toimiala-
kysymys]]="Ei kuulu"), "Ei kuulu", "Kuuluu")</f>
        <v>Ei kuulu</v>
      </c>
      <c r="J17" s="3" t="str">
        <f>IF(KysymyksetTaulukko2[[#This Row],[Luokka + toimiala]]="Kuuluu","a) Oman vesilaitoksen kysymykset","b) Muut kysymykset")</f>
        <v>b) Muut kysymykset</v>
      </c>
      <c r="K17" s="9" t="s">
        <v>80</v>
      </c>
      <c r="L17" s="9" t="s">
        <v>88</v>
      </c>
      <c r="M17" s="61" t="str">
        <f>LEFT(KysymyksetTaulukko2[[#This Row],[Alakategoria_]],2)</f>
        <v>6.</v>
      </c>
      <c r="N17" s="107" t="s">
        <v>11</v>
      </c>
      <c r="O17" s="70" t="s">
        <v>206</v>
      </c>
      <c r="P17" s="67" t="str">
        <f>IF(AND(KysymyksetTaulukko2[[#This Row],[Luokka]]="Extra",KysymyksetTaulukko2[[#This Row],[Luokka + toimiala]]="Kuuluu"),"Extra","")</f>
        <v/>
      </c>
      <c r="Q17" s="114"/>
      <c r="R17" s="64" t="s">
        <v>93</v>
      </c>
      <c r="S17" s="159"/>
      <c r="T17" s="123">
        <f>IF(AND(KysymyksetTaulukko2[[#This Row],[Luokka + toimiala]]="Kuuluu",KysymyksetTaulukko2[[#This Row],[Vastaus]]="Kyllä"),1,0)</f>
        <v>0</v>
      </c>
      <c r="U17" s="121">
        <f>IF(AND(KysymyksetTaulukko2[[#This Row],[Maksimipisteet]]=1,NOT(ISBLANK(KysymyksetTaulukko2[[#This Row],[Vastaus]]))),1,0)</f>
        <v>0</v>
      </c>
      <c r="V17" s="123">
        <f>IF(OR(KysymyksetTaulukko2[[#This Row],[Luokka + toimiala]]="Ei kuulu",KysymyksetTaulukko2[[#This Row],[Vastaus]]="Ei koske",KysymyksetTaulukko2[[#This Row],[Luokka]]="Extra",KysymyksetTaulukko2[[#This Row],[Otsikkorivi]]="Kyllä"),0,1)</f>
        <v>0</v>
      </c>
    </row>
    <row r="18" spans="1:22" ht="28.5" x14ac:dyDescent="0.35">
      <c r="A18" s="3" t="s">
        <v>19</v>
      </c>
      <c r="B18" s="3" t="str">
        <f>IF(ISNUMBER(SEARCH("," &amp; LV!$B$10 &amp; ",", "," &amp; SUBSTITUTE(A18, " ", "")&amp; ",")),
  "Kuuluu",
  IF(AND(LV!$B$10&gt;=2,
      LV!$B$10&lt;=4,
      OR(ISNUMBER(SEARCH("," &amp;(LV!$B$10+1)&amp; ",", "," &amp; SUBSTITUTE(A18, " ", "")&amp; ",")),
        ISNUMBER(SEARCH("," &amp;(LV!$B$10+2)&amp; ",", "," &amp; SUBSTITUTE(A18, " ", "")&amp; ",")),
        ISNUMBER(SEARCH("," &amp;(LV!$B$10+3)&amp; ",", "," &amp; SUBSTITUTE(A18, " ", "")&amp; ",")),
        ISNUMBER(SEARCH("," &amp;(LV!$B$10+4)&amp; ",", "," &amp; SUBSTITUTE(A18, " ", "")&amp; ",")),
        ISNUMBER(SEARCH("," &amp;(LV!$B$10+5)&amp; ",", "," &amp; SUBSTITUTE(A18, " ", "")&amp; ",")))),
    "Extra",
    "Ei kuulu"))</f>
        <v>Ei kuulu</v>
      </c>
      <c r="C18" s="3" t="s">
        <v>28</v>
      </c>
      <c r="D18" s="3" t="str">
        <f>IF(ISNUMBER(SEARCH(LV!$I$5, Kustannustehokas_ja_organisoitu!C18)), "K", "E")</f>
        <v>E</v>
      </c>
      <c r="E18" s="3" t="str">
        <f>IF(ISNUMBER(SEARCH(LV!$I$6, Kustannustehokas_ja_organisoitu!$C18)), "K", "E")</f>
        <v>E</v>
      </c>
      <c r="F18" s="3" t="str">
        <f>IF(ISNUMBER(SEARCH(LV!$I$7, Kustannustehokas_ja_organisoitu!$C18)), "K", "E")</f>
        <v>E</v>
      </c>
      <c r="G18" s="3" t="str">
        <f>IF(ISNUMBER(SEARCH(LV!$I$8, Kustannustehokas_ja_organisoitu!$C18)), "K", "E")</f>
        <v>E</v>
      </c>
      <c r="H18" s="3" t="str">
        <f>IF(OR(KysymyksetTaulukko2[[#This Row],[Toimiala A]]="K",KysymyksetTaulukko2[[#This Row],[Toimiala B]]="K",KysymyksetTaulukko2[[#This Row],[Toimiala C]]="K",KysymyksetTaulukko2[[#This Row],[Toimiala D]]="K"),"Kuuluu","Ei kuulu")</f>
        <v>Ei kuulu</v>
      </c>
      <c r="I18" s="3" t="str">
        <f>IF(OR(KysymyksetTaulukko2[[#This Row],[Luokka]]="Ei kuulu",KysymyksetTaulukko2[[#This Row],[Toimiala-
kysymys]]="Ei kuulu"), "Ei kuulu", "Kuuluu")</f>
        <v>Ei kuulu</v>
      </c>
      <c r="J18" s="3" t="str">
        <f>IF(KysymyksetTaulukko2[[#This Row],[Luokka + toimiala]]="Kuuluu","a) Oman vesilaitoksen kysymykset","b) Muut kysymykset")</f>
        <v>b) Muut kysymykset</v>
      </c>
      <c r="K18" s="9" t="s">
        <v>80</v>
      </c>
      <c r="L18" s="9" t="s">
        <v>88</v>
      </c>
      <c r="M18" s="61" t="str">
        <f>LEFT(KysymyksetTaulukko2[[#This Row],[Alakategoria_]],2)</f>
        <v>6.</v>
      </c>
      <c r="N18" s="107"/>
      <c r="O18" s="70" t="s">
        <v>222</v>
      </c>
      <c r="P18" s="67" t="str">
        <f>IF(AND(KysymyksetTaulukko2[[#This Row],[Luokka]]="Extra",KysymyksetTaulukko2[[#This Row],[Luokka + toimiala]]="Kuuluu"),"Extra","")</f>
        <v/>
      </c>
      <c r="Q18" s="114"/>
      <c r="R18" s="64" t="s">
        <v>94</v>
      </c>
      <c r="S18" s="159"/>
      <c r="T18" s="123">
        <f>IF(AND(KysymyksetTaulukko2[[#This Row],[Luokka + toimiala]]="Kuuluu",KysymyksetTaulukko2[[#This Row],[Vastaus]]="Kyllä"),1,0)</f>
        <v>0</v>
      </c>
      <c r="U18" s="121">
        <f>IF(AND(KysymyksetTaulukko2[[#This Row],[Maksimipisteet]]=1,NOT(ISBLANK(KysymyksetTaulukko2[[#This Row],[Vastaus]]))),1,0)</f>
        <v>0</v>
      </c>
      <c r="V18" s="123">
        <f>IF(OR(KysymyksetTaulukko2[[#This Row],[Luokka + toimiala]]="Ei kuulu",KysymyksetTaulukko2[[#This Row],[Vastaus]]="Ei koske",KysymyksetTaulukko2[[#This Row],[Luokka]]="Extra",KysymyksetTaulukko2[[#This Row],[Otsikkorivi]]="Kyllä"),0,1)</f>
        <v>0</v>
      </c>
    </row>
    <row r="19" spans="1:22" ht="29" x14ac:dyDescent="0.35">
      <c r="A19" s="3" t="s">
        <v>19</v>
      </c>
      <c r="B19" s="3" t="str">
        <f>IF(ISNUMBER(SEARCH("," &amp; LV!$B$10 &amp; ",", "," &amp; SUBSTITUTE(A19, " ", "")&amp; ",")),
  "Kuuluu",
  IF(AND(LV!$B$10&gt;=2,
      LV!$B$10&lt;=4,
      OR(ISNUMBER(SEARCH("," &amp;(LV!$B$10+1)&amp; ",", "," &amp; SUBSTITUTE(A19, " ", "")&amp; ",")),
        ISNUMBER(SEARCH("," &amp;(LV!$B$10+2)&amp; ",", "," &amp; SUBSTITUTE(A19, " ", "")&amp; ",")),
        ISNUMBER(SEARCH("," &amp;(LV!$B$10+3)&amp; ",", "," &amp; SUBSTITUTE(A19, " ", "")&amp; ",")),
        ISNUMBER(SEARCH("," &amp;(LV!$B$10+4)&amp; ",", "," &amp; SUBSTITUTE(A19, " ", "")&amp; ",")),
        ISNUMBER(SEARCH("," &amp;(LV!$B$10+5)&amp; ",", "," &amp; SUBSTITUTE(A19, " ", "")&amp; ",")))),
    "Extra",
    "Ei kuulu"))</f>
        <v>Ei kuulu</v>
      </c>
      <c r="C19" s="3" t="s">
        <v>28</v>
      </c>
      <c r="D19" s="3" t="str">
        <f>IF(ISNUMBER(SEARCH(LV!$I$5, Kustannustehokas_ja_organisoitu!C19)), "K", "E")</f>
        <v>E</v>
      </c>
      <c r="E19" s="3" t="str">
        <f>IF(ISNUMBER(SEARCH(LV!$I$6, Kustannustehokas_ja_organisoitu!$C19)), "K", "E")</f>
        <v>E</v>
      </c>
      <c r="F19" s="3" t="str">
        <f>IF(ISNUMBER(SEARCH(LV!$I$7, Kustannustehokas_ja_organisoitu!$C19)), "K", "E")</f>
        <v>E</v>
      </c>
      <c r="G19" s="3" t="str">
        <f>IF(ISNUMBER(SEARCH(LV!$I$8, Kustannustehokas_ja_organisoitu!$C19)), "K", "E")</f>
        <v>E</v>
      </c>
      <c r="H19" s="3" t="str">
        <f>IF(OR(KysymyksetTaulukko2[[#This Row],[Toimiala A]]="K",KysymyksetTaulukko2[[#This Row],[Toimiala B]]="K",KysymyksetTaulukko2[[#This Row],[Toimiala C]]="K",KysymyksetTaulukko2[[#This Row],[Toimiala D]]="K"),"Kuuluu","Ei kuulu")</f>
        <v>Ei kuulu</v>
      </c>
      <c r="I19" s="3" t="str">
        <f>IF(OR(KysymyksetTaulukko2[[#This Row],[Luokka]]="Ei kuulu",KysymyksetTaulukko2[[#This Row],[Toimiala-
kysymys]]="Ei kuulu"), "Ei kuulu", "Kuuluu")</f>
        <v>Ei kuulu</v>
      </c>
      <c r="J19" s="3" t="str">
        <f>IF(KysymyksetTaulukko2[[#This Row],[Luokka + toimiala]]="Kuuluu","a) Oman vesilaitoksen kysymykset","b) Muut kysymykset")</f>
        <v>b) Muut kysymykset</v>
      </c>
      <c r="K19" s="9" t="s">
        <v>80</v>
      </c>
      <c r="L19" s="9" t="s">
        <v>88</v>
      </c>
      <c r="M19" s="61" t="str">
        <f>LEFT(KysymyksetTaulukko2[[#This Row],[Alakategoria_]],2)</f>
        <v>6.</v>
      </c>
      <c r="N19" s="107"/>
      <c r="O19" s="70" t="s">
        <v>222</v>
      </c>
      <c r="P19" s="67" t="str">
        <f>IF(AND(KysymyksetTaulukko2[[#This Row],[Luokka]]="Extra",KysymyksetTaulukko2[[#This Row],[Luokka + toimiala]]="Kuuluu"),"Extra","")</f>
        <v/>
      </c>
      <c r="Q19" s="114"/>
      <c r="R19" s="64" t="s">
        <v>95</v>
      </c>
      <c r="S19" s="159"/>
      <c r="T19" s="123">
        <f>IF(AND(KysymyksetTaulukko2[[#This Row],[Luokka + toimiala]]="Kuuluu",KysymyksetTaulukko2[[#This Row],[Vastaus]]="Kyllä"),1,0)</f>
        <v>0</v>
      </c>
      <c r="U19" s="121">
        <f>IF(AND(KysymyksetTaulukko2[[#This Row],[Maksimipisteet]]=1,NOT(ISBLANK(KysymyksetTaulukko2[[#This Row],[Vastaus]]))),1,0)</f>
        <v>0</v>
      </c>
      <c r="V19" s="123">
        <f>IF(OR(KysymyksetTaulukko2[[#This Row],[Luokka + toimiala]]="Ei kuulu",KysymyksetTaulukko2[[#This Row],[Vastaus]]="Ei koske",KysymyksetTaulukko2[[#This Row],[Luokka]]="Extra",KysymyksetTaulukko2[[#This Row],[Otsikkorivi]]="Kyllä"),0,1)</f>
        <v>0</v>
      </c>
    </row>
    <row r="20" spans="1:22" ht="28.5" x14ac:dyDescent="0.35">
      <c r="A20" s="3">
        <v>3.4</v>
      </c>
      <c r="B20" s="3" t="str">
        <f>IF(ISNUMBER(SEARCH("," &amp; LV!$B$10 &amp; ",", "," &amp; SUBSTITUTE(A20, " ", "")&amp; ",")),
  "Kuuluu",
  IF(AND(LV!$B$10&gt;=2,
      LV!$B$10&lt;=4,
      OR(ISNUMBER(SEARCH("," &amp;(LV!$B$10+1)&amp; ",", "," &amp; SUBSTITUTE(A20, " ", "")&amp; ",")),
        ISNUMBER(SEARCH("," &amp;(LV!$B$10+2)&amp; ",", "," &amp; SUBSTITUTE(A20, " ", "")&amp; ",")),
        ISNUMBER(SEARCH("," &amp;(LV!$B$10+3)&amp; ",", "," &amp; SUBSTITUTE(A20, " ", "")&amp; ",")),
        ISNUMBER(SEARCH("," &amp;(LV!$B$10+4)&amp; ",", "," &amp; SUBSTITUTE(A20, " ", "")&amp; ",")),
        ISNUMBER(SEARCH("," &amp;(LV!$B$10+5)&amp; ",", "," &amp; SUBSTITUTE(A20, " ", "")&amp; ",")))),
    "Extra",
    "Ei kuulu"))</f>
        <v>Ei kuulu</v>
      </c>
      <c r="C20" s="3" t="s">
        <v>28</v>
      </c>
      <c r="D20" s="3" t="str">
        <f>IF(ISNUMBER(SEARCH(LV!$I$5, Kustannustehokas_ja_organisoitu!C20)), "K", "E")</f>
        <v>E</v>
      </c>
      <c r="E20" s="3" t="str">
        <f>IF(ISNUMBER(SEARCH(LV!$I$6, Kustannustehokas_ja_organisoitu!$C20)), "K", "E")</f>
        <v>E</v>
      </c>
      <c r="F20" s="3" t="str">
        <f>IF(ISNUMBER(SEARCH(LV!$I$7, Kustannustehokas_ja_organisoitu!$C20)), "K", "E")</f>
        <v>E</v>
      </c>
      <c r="G20" s="3" t="str">
        <f>IF(ISNUMBER(SEARCH(LV!$I$8, Kustannustehokas_ja_organisoitu!$C20)), "K", "E")</f>
        <v>E</v>
      </c>
      <c r="H20" s="3" t="str">
        <f>IF(OR(KysymyksetTaulukko2[[#This Row],[Toimiala A]]="K",KysymyksetTaulukko2[[#This Row],[Toimiala B]]="K",KysymyksetTaulukko2[[#This Row],[Toimiala C]]="K",KysymyksetTaulukko2[[#This Row],[Toimiala D]]="K"),"Kuuluu","Ei kuulu")</f>
        <v>Ei kuulu</v>
      </c>
      <c r="I20" s="3" t="str">
        <f>IF(OR(KysymyksetTaulukko2[[#This Row],[Luokka]]="Ei kuulu",KysymyksetTaulukko2[[#This Row],[Toimiala-
kysymys]]="Ei kuulu"), "Ei kuulu", "Kuuluu")</f>
        <v>Ei kuulu</v>
      </c>
      <c r="J20" s="3" t="str">
        <f>IF(KysymyksetTaulukko2[[#This Row],[Luokka + toimiala]]="Kuuluu","a) Oman vesilaitoksen kysymykset","b) Muut kysymykset")</f>
        <v>b) Muut kysymykset</v>
      </c>
      <c r="K20" s="9" t="s">
        <v>80</v>
      </c>
      <c r="L20" s="9" t="s">
        <v>88</v>
      </c>
      <c r="M20" s="61" t="str">
        <f>LEFT(KysymyksetTaulukko2[[#This Row],[Alakategoria_]],2)</f>
        <v>6.</v>
      </c>
      <c r="N20" s="107"/>
      <c r="O20" s="70" t="s">
        <v>222</v>
      </c>
      <c r="P20" s="67" t="str">
        <f>IF(AND(KysymyksetTaulukko2[[#This Row],[Luokka]]="Extra",KysymyksetTaulukko2[[#This Row],[Luokka + toimiala]]="Kuuluu"),"Extra","")</f>
        <v/>
      </c>
      <c r="Q20" s="114"/>
      <c r="R20" s="64" t="s">
        <v>96</v>
      </c>
      <c r="S20" s="159"/>
      <c r="T20" s="123">
        <f>IF(AND(KysymyksetTaulukko2[[#This Row],[Luokka + toimiala]]="Kuuluu",KysymyksetTaulukko2[[#This Row],[Vastaus]]="Kyllä"),1,0)</f>
        <v>0</v>
      </c>
      <c r="U20" s="121">
        <f>IF(AND(KysymyksetTaulukko2[[#This Row],[Maksimipisteet]]=1,NOT(ISBLANK(KysymyksetTaulukko2[[#This Row],[Vastaus]]))),1,0)</f>
        <v>0</v>
      </c>
      <c r="V20" s="123">
        <f>IF(OR(KysymyksetTaulukko2[[#This Row],[Luokka + toimiala]]="Ei kuulu",KysymyksetTaulukko2[[#This Row],[Vastaus]]="Ei koske",KysymyksetTaulukko2[[#This Row],[Luokka]]="Extra",KysymyksetTaulukko2[[#This Row],[Otsikkorivi]]="Kyllä"),0,1)</f>
        <v>0</v>
      </c>
    </row>
    <row r="21" spans="1:22" ht="28.5" x14ac:dyDescent="0.35">
      <c r="A21" s="3">
        <v>3.4</v>
      </c>
      <c r="B21" s="3" t="str">
        <f>IF(ISNUMBER(SEARCH("," &amp; LV!$B$10 &amp; ",", "," &amp; SUBSTITUTE(A21, " ", "")&amp; ",")),
  "Kuuluu",
  IF(AND(LV!$B$10&gt;=2,
      LV!$B$10&lt;=4,
      OR(ISNUMBER(SEARCH("," &amp;(LV!$B$10+1)&amp; ",", "," &amp; SUBSTITUTE(A21, " ", "")&amp; ",")),
        ISNUMBER(SEARCH("," &amp;(LV!$B$10+2)&amp; ",", "," &amp; SUBSTITUTE(A21, " ", "")&amp; ",")),
        ISNUMBER(SEARCH("," &amp;(LV!$B$10+3)&amp; ",", "," &amp; SUBSTITUTE(A21, " ", "")&amp; ",")),
        ISNUMBER(SEARCH("," &amp;(LV!$B$10+4)&amp; ",", "," &amp; SUBSTITUTE(A21, " ", "")&amp; ",")),
        ISNUMBER(SEARCH("," &amp;(LV!$B$10+5)&amp; ",", "," &amp; SUBSTITUTE(A21, " ", "")&amp; ",")))),
    "Extra",
    "Ei kuulu"))</f>
        <v>Ei kuulu</v>
      </c>
      <c r="C21" s="3" t="s">
        <v>17</v>
      </c>
      <c r="D21" s="3" t="str">
        <f>IF(ISNUMBER(SEARCH(LV!$I$5, Kustannustehokas_ja_organisoitu!C21)), "K", "E")</f>
        <v>E</v>
      </c>
      <c r="E21" s="3" t="str">
        <f>IF(ISNUMBER(SEARCH(LV!$I$6, Kustannustehokas_ja_organisoitu!$C21)), "K", "E")</f>
        <v>E</v>
      </c>
      <c r="F21" s="3" t="str">
        <f>IF(ISNUMBER(SEARCH(LV!$I$7, Kustannustehokas_ja_organisoitu!$C21)), "K", "E")</f>
        <v>E</v>
      </c>
      <c r="G21" s="3" t="str">
        <f>IF(ISNUMBER(SEARCH(LV!$I$8, Kustannustehokas_ja_organisoitu!$C21)), "K", "E")</f>
        <v>E</v>
      </c>
      <c r="H21" s="3" t="str">
        <f>IF(OR(KysymyksetTaulukko2[[#This Row],[Toimiala A]]="K",KysymyksetTaulukko2[[#This Row],[Toimiala B]]="K",KysymyksetTaulukko2[[#This Row],[Toimiala C]]="K",KysymyksetTaulukko2[[#This Row],[Toimiala D]]="K"),"Kuuluu","Ei kuulu")</f>
        <v>Ei kuulu</v>
      </c>
      <c r="I21" s="3" t="str">
        <f>IF(OR(KysymyksetTaulukko2[[#This Row],[Luokka]]="Ei kuulu",KysymyksetTaulukko2[[#This Row],[Toimiala-
kysymys]]="Ei kuulu"), "Ei kuulu", "Kuuluu")</f>
        <v>Ei kuulu</v>
      </c>
      <c r="J21" s="3" t="str">
        <f>IF(KysymyksetTaulukko2[[#This Row],[Luokka + toimiala]]="Kuuluu","a) Oman vesilaitoksen kysymykset","b) Muut kysymykset")</f>
        <v>b) Muut kysymykset</v>
      </c>
      <c r="K21" s="9" t="s">
        <v>80</v>
      </c>
      <c r="L21" s="9" t="s">
        <v>88</v>
      </c>
      <c r="M21" s="61" t="str">
        <f>LEFT(KysymyksetTaulukko2[[#This Row],[Alakategoria_]],2)</f>
        <v>6.</v>
      </c>
      <c r="N21" s="107"/>
      <c r="O21" s="70" t="s">
        <v>222</v>
      </c>
      <c r="P21" s="67" t="str">
        <f>IF(AND(KysymyksetTaulukko2[[#This Row],[Luokka]]="Extra",KysymyksetTaulukko2[[#This Row],[Luokka + toimiala]]="Kuuluu"),"Extra","")</f>
        <v/>
      </c>
      <c r="Q21" s="114"/>
      <c r="R21" s="64" t="s">
        <v>97</v>
      </c>
      <c r="S21" s="159"/>
      <c r="T21" s="123">
        <f>IF(AND(KysymyksetTaulukko2[[#This Row],[Luokka + toimiala]]="Kuuluu",KysymyksetTaulukko2[[#This Row],[Vastaus]]="Kyllä"),1,0)</f>
        <v>0</v>
      </c>
      <c r="U21" s="121">
        <f>IF(AND(KysymyksetTaulukko2[[#This Row],[Maksimipisteet]]=1,NOT(ISBLANK(KysymyksetTaulukko2[[#This Row],[Vastaus]]))),1,0)</f>
        <v>0</v>
      </c>
      <c r="V21" s="123">
        <f>IF(OR(KysymyksetTaulukko2[[#This Row],[Luokka + toimiala]]="Ei kuulu",KysymyksetTaulukko2[[#This Row],[Vastaus]]="Ei koske",KysymyksetTaulukko2[[#This Row],[Luokka]]="Extra",KysymyksetTaulukko2[[#This Row],[Otsikkorivi]]="Kyllä"),0,1)</f>
        <v>0</v>
      </c>
    </row>
    <row r="22" spans="1:22" ht="28.5" x14ac:dyDescent="0.35">
      <c r="A22" s="3">
        <v>4</v>
      </c>
      <c r="B22" s="3" t="str">
        <f>IF(ISNUMBER(SEARCH("," &amp; LV!$B$10 &amp; ",", "," &amp; SUBSTITUTE(A22, " ", "")&amp; ",")),
  "Kuuluu",
  IF(AND(LV!$B$10&gt;=2,
      LV!$B$10&lt;=4,
      OR(ISNUMBER(SEARCH("," &amp;(LV!$B$10+1)&amp; ",", "," &amp; SUBSTITUTE(A22, " ", "")&amp; ",")),
        ISNUMBER(SEARCH("," &amp;(LV!$B$10+2)&amp; ",", "," &amp; SUBSTITUTE(A22, " ", "")&amp; ",")),
        ISNUMBER(SEARCH("," &amp;(LV!$B$10+3)&amp; ",", "," &amp; SUBSTITUTE(A22, " ", "")&amp; ",")),
        ISNUMBER(SEARCH("," &amp;(LV!$B$10+4)&amp; ",", "," &amp; SUBSTITUTE(A22, " ", "")&amp; ",")),
        ISNUMBER(SEARCH("," &amp;(LV!$B$10+5)&amp; ",", "," &amp; SUBSTITUTE(A22, " ", "")&amp; ",")))),
    "Extra",
    "Ei kuulu"))</f>
        <v>Ei kuulu</v>
      </c>
      <c r="C22" s="3" t="s">
        <v>28</v>
      </c>
      <c r="D22" s="3" t="str">
        <f>IF(ISNUMBER(SEARCH(LV!$I$5, Kustannustehokas_ja_organisoitu!C22)), "K", "E")</f>
        <v>E</v>
      </c>
      <c r="E22" s="3" t="str">
        <f>IF(ISNUMBER(SEARCH(LV!$I$6, Kustannustehokas_ja_organisoitu!$C22)), "K", "E")</f>
        <v>E</v>
      </c>
      <c r="F22" s="3" t="str">
        <f>IF(ISNUMBER(SEARCH(LV!$I$7, Kustannustehokas_ja_organisoitu!$C22)), "K", "E")</f>
        <v>E</v>
      </c>
      <c r="G22" s="3" t="str">
        <f>IF(ISNUMBER(SEARCH(LV!$I$8, Kustannustehokas_ja_organisoitu!$C22)), "K", "E")</f>
        <v>E</v>
      </c>
      <c r="H22" s="3" t="str">
        <f>IF(OR(KysymyksetTaulukko2[[#This Row],[Toimiala A]]="K",KysymyksetTaulukko2[[#This Row],[Toimiala B]]="K",KysymyksetTaulukko2[[#This Row],[Toimiala C]]="K",KysymyksetTaulukko2[[#This Row],[Toimiala D]]="K"),"Kuuluu","Ei kuulu")</f>
        <v>Ei kuulu</v>
      </c>
      <c r="I22" s="3" t="str">
        <f>IF(OR(KysymyksetTaulukko2[[#This Row],[Luokka]]="Ei kuulu",KysymyksetTaulukko2[[#This Row],[Toimiala-
kysymys]]="Ei kuulu"), "Ei kuulu", "Kuuluu")</f>
        <v>Ei kuulu</v>
      </c>
      <c r="J22" s="3" t="str">
        <f>IF(KysymyksetTaulukko2[[#This Row],[Luokka + toimiala]]="Kuuluu","a) Oman vesilaitoksen kysymykset","b) Muut kysymykset")</f>
        <v>b) Muut kysymykset</v>
      </c>
      <c r="K22" s="9" t="s">
        <v>80</v>
      </c>
      <c r="L22" s="9" t="s">
        <v>88</v>
      </c>
      <c r="M22" s="61" t="str">
        <f>LEFT(KysymyksetTaulukko2[[#This Row],[Alakategoria_]],2)</f>
        <v>6.</v>
      </c>
      <c r="N22" s="107"/>
      <c r="O22" s="70" t="s">
        <v>222</v>
      </c>
      <c r="P22" s="67" t="str">
        <f>IF(AND(KysymyksetTaulukko2[[#This Row],[Luokka]]="Extra",KysymyksetTaulukko2[[#This Row],[Luokka + toimiala]]="Kuuluu"),"Extra","")</f>
        <v/>
      </c>
      <c r="Q22" s="114"/>
      <c r="R22" s="64" t="s">
        <v>281</v>
      </c>
      <c r="S22" s="159"/>
      <c r="T22" s="123">
        <f>IF(AND(KysymyksetTaulukko2[[#This Row],[Luokka + toimiala]]="Kuuluu",KysymyksetTaulukko2[[#This Row],[Vastaus]]="Kyllä"),1,0)</f>
        <v>0</v>
      </c>
      <c r="U22" s="121">
        <f>IF(AND(KysymyksetTaulukko2[[#This Row],[Maksimipisteet]]=1,NOT(ISBLANK(KysymyksetTaulukko2[[#This Row],[Vastaus]]))),1,0)</f>
        <v>0</v>
      </c>
      <c r="V22" s="123">
        <f>IF(OR(KysymyksetTaulukko2[[#This Row],[Luokka + toimiala]]="Ei kuulu",KysymyksetTaulukko2[[#This Row],[Vastaus]]="Ei koske",KysymyksetTaulukko2[[#This Row],[Luokka]]="Extra",KysymyksetTaulukko2[[#This Row],[Otsikkorivi]]="Kyllä"),0,1)</f>
        <v>0</v>
      </c>
    </row>
    <row r="23" spans="1:22" ht="28.5" x14ac:dyDescent="0.35">
      <c r="A23" s="3">
        <v>5</v>
      </c>
      <c r="B23" s="3" t="str">
        <f>IF(ISNUMBER(SEARCH("," &amp; LV!$B$10 &amp; ",", "," &amp; SUBSTITUTE(A23, " ", "")&amp; ",")),
  "Kuuluu",
  IF(AND(LV!$B$10&gt;=2,
      LV!$B$10&lt;=4,
      OR(ISNUMBER(SEARCH("," &amp;(LV!$B$10+1)&amp; ",", "," &amp; SUBSTITUTE(A23, " ", "")&amp; ",")),
        ISNUMBER(SEARCH("," &amp;(LV!$B$10+2)&amp; ",", "," &amp; SUBSTITUTE(A23, " ", "")&amp; ",")),
        ISNUMBER(SEARCH("," &amp;(LV!$B$10+3)&amp; ",", "," &amp; SUBSTITUTE(A23, " ", "")&amp; ",")),
        ISNUMBER(SEARCH("," &amp;(LV!$B$10+4)&amp; ",", "," &amp; SUBSTITUTE(A23, " ", "")&amp; ",")),
        ISNUMBER(SEARCH("," &amp;(LV!$B$10+5)&amp; ",", "," &amp; SUBSTITUTE(A23, " ", "")&amp; ",")))),
    "Extra",
    "Ei kuulu"))</f>
        <v>Ei kuulu</v>
      </c>
      <c r="C23" s="3" t="s">
        <v>28</v>
      </c>
      <c r="D23" s="3" t="str">
        <f>IF(ISNUMBER(SEARCH(LV!$I$5, Kustannustehokas_ja_organisoitu!C23)), "K", "E")</f>
        <v>E</v>
      </c>
      <c r="E23" s="3" t="str">
        <f>IF(ISNUMBER(SEARCH(LV!$I$6, Kustannustehokas_ja_organisoitu!$C23)), "K", "E")</f>
        <v>E</v>
      </c>
      <c r="F23" s="3" t="str">
        <f>IF(ISNUMBER(SEARCH(LV!$I$7, Kustannustehokas_ja_organisoitu!$C23)), "K", "E")</f>
        <v>E</v>
      </c>
      <c r="G23" s="3" t="str">
        <f>IF(ISNUMBER(SEARCH(LV!$I$8, Kustannustehokas_ja_organisoitu!$C23)), "K", "E")</f>
        <v>E</v>
      </c>
      <c r="H23" s="3" t="str">
        <f>IF(OR(KysymyksetTaulukko2[[#This Row],[Toimiala A]]="K",KysymyksetTaulukko2[[#This Row],[Toimiala B]]="K",KysymyksetTaulukko2[[#This Row],[Toimiala C]]="K",KysymyksetTaulukko2[[#This Row],[Toimiala D]]="K"),"Kuuluu","Ei kuulu")</f>
        <v>Ei kuulu</v>
      </c>
      <c r="I23" s="3" t="str">
        <f>IF(OR(KysymyksetTaulukko2[[#This Row],[Luokka]]="Ei kuulu",KysymyksetTaulukko2[[#This Row],[Toimiala-
kysymys]]="Ei kuulu"), "Ei kuulu", "Kuuluu")</f>
        <v>Ei kuulu</v>
      </c>
      <c r="J23" s="3" t="str">
        <f>IF(KysymyksetTaulukko2[[#This Row],[Luokka + toimiala]]="Kuuluu","a) Oman vesilaitoksen kysymykset","b) Muut kysymykset")</f>
        <v>b) Muut kysymykset</v>
      </c>
      <c r="K23" s="9" t="s">
        <v>80</v>
      </c>
      <c r="L23" s="9" t="s">
        <v>88</v>
      </c>
      <c r="M23" s="61" t="str">
        <f>LEFT(KysymyksetTaulukko2[[#This Row],[Alakategoria_]],2)</f>
        <v>6.</v>
      </c>
      <c r="N23" s="107"/>
      <c r="O23" s="70" t="s">
        <v>222</v>
      </c>
      <c r="P23" s="67" t="str">
        <f>IF(AND(KysymyksetTaulukko2[[#This Row],[Luokka]]="Extra",KysymyksetTaulukko2[[#This Row],[Luokka + toimiala]]="Kuuluu"),"Extra","")</f>
        <v/>
      </c>
      <c r="Q23" s="114"/>
      <c r="R23" s="64" t="s">
        <v>99</v>
      </c>
      <c r="S23" s="159"/>
      <c r="T23" s="123">
        <f>IF(AND(KysymyksetTaulukko2[[#This Row],[Luokka + toimiala]]="Kuuluu",KysymyksetTaulukko2[[#This Row],[Vastaus]]="Kyllä"),1,0)</f>
        <v>0</v>
      </c>
      <c r="U23" s="121">
        <f>IF(AND(KysymyksetTaulukko2[[#This Row],[Maksimipisteet]]=1,NOT(ISBLANK(KysymyksetTaulukko2[[#This Row],[Vastaus]]))),1,0)</f>
        <v>0</v>
      </c>
      <c r="V23" s="123">
        <f>IF(OR(KysymyksetTaulukko2[[#This Row],[Luokka + toimiala]]="Ei kuulu",KysymyksetTaulukko2[[#This Row],[Vastaus]]="Ei koske",KysymyksetTaulukko2[[#This Row],[Luokka]]="Extra",KysymyksetTaulukko2[[#This Row],[Otsikkorivi]]="Kyllä"),0,1)</f>
        <v>0</v>
      </c>
    </row>
    <row r="24" spans="1:22" ht="29" x14ac:dyDescent="0.35">
      <c r="A24" s="3">
        <v>5</v>
      </c>
      <c r="B24" s="3" t="str">
        <f>IF(ISNUMBER(SEARCH("," &amp; LV!$B$10 &amp; ",", "," &amp; SUBSTITUTE(A24, " ", "")&amp; ",")),
  "Kuuluu",
  IF(AND(LV!$B$10&gt;=2,
      LV!$B$10&lt;=4,
      OR(ISNUMBER(SEARCH("," &amp;(LV!$B$10+1)&amp; ",", "," &amp; SUBSTITUTE(A24, " ", "")&amp; ",")),
        ISNUMBER(SEARCH("," &amp;(LV!$B$10+2)&amp; ",", "," &amp; SUBSTITUTE(A24, " ", "")&amp; ",")),
        ISNUMBER(SEARCH("," &amp;(LV!$B$10+3)&amp; ",", "," &amp; SUBSTITUTE(A24, " ", "")&amp; ",")),
        ISNUMBER(SEARCH("," &amp;(LV!$B$10+4)&amp; ",", "," &amp; SUBSTITUTE(A24, " ", "")&amp; ",")),
        ISNUMBER(SEARCH("," &amp;(LV!$B$10+5)&amp; ",", "," &amp; SUBSTITUTE(A24, " ", "")&amp; ",")))),
    "Extra",
    "Ei kuulu"))</f>
        <v>Ei kuulu</v>
      </c>
      <c r="C24" s="3" t="s">
        <v>28</v>
      </c>
      <c r="D24" s="3" t="str">
        <f>IF(ISNUMBER(SEARCH(LV!$I$5, Kustannustehokas_ja_organisoitu!C24)), "K", "E")</f>
        <v>E</v>
      </c>
      <c r="E24" s="3" t="str">
        <f>IF(ISNUMBER(SEARCH(LV!$I$6, Kustannustehokas_ja_organisoitu!$C24)), "K", "E")</f>
        <v>E</v>
      </c>
      <c r="F24" s="3" t="str">
        <f>IF(ISNUMBER(SEARCH(LV!$I$7, Kustannustehokas_ja_organisoitu!$C24)), "K", "E")</f>
        <v>E</v>
      </c>
      <c r="G24" s="3" t="str">
        <f>IF(ISNUMBER(SEARCH(LV!$I$8, Kustannustehokas_ja_organisoitu!$C24)), "K", "E")</f>
        <v>E</v>
      </c>
      <c r="H24" s="3" t="str">
        <f>IF(OR(KysymyksetTaulukko2[[#This Row],[Toimiala A]]="K",KysymyksetTaulukko2[[#This Row],[Toimiala B]]="K",KysymyksetTaulukko2[[#This Row],[Toimiala C]]="K",KysymyksetTaulukko2[[#This Row],[Toimiala D]]="K"),"Kuuluu","Ei kuulu")</f>
        <v>Ei kuulu</v>
      </c>
      <c r="I24" s="3" t="str">
        <f>IF(OR(KysymyksetTaulukko2[[#This Row],[Luokka]]="Ei kuulu",KysymyksetTaulukko2[[#This Row],[Toimiala-
kysymys]]="Ei kuulu"), "Ei kuulu", "Kuuluu")</f>
        <v>Ei kuulu</v>
      </c>
      <c r="J24" s="3" t="str">
        <f>IF(KysymyksetTaulukko2[[#This Row],[Luokka + toimiala]]="Kuuluu","a) Oman vesilaitoksen kysymykset","b) Muut kysymykset")</f>
        <v>b) Muut kysymykset</v>
      </c>
      <c r="K24" s="9" t="s">
        <v>80</v>
      </c>
      <c r="L24" s="9" t="s">
        <v>88</v>
      </c>
      <c r="M24" s="61" t="str">
        <f>LEFT(KysymyksetTaulukko2[[#This Row],[Alakategoria_]],2)</f>
        <v>6.</v>
      </c>
      <c r="N24" s="107"/>
      <c r="O24" s="70" t="s">
        <v>222</v>
      </c>
      <c r="P24" s="67" t="str">
        <f>IF(AND(KysymyksetTaulukko2[[#This Row],[Luokka]]="Extra",KysymyksetTaulukko2[[#This Row],[Luokka + toimiala]]="Kuuluu"),"Extra","")</f>
        <v/>
      </c>
      <c r="Q24" s="114"/>
      <c r="R24" s="64" t="s">
        <v>100</v>
      </c>
      <c r="S24" s="159"/>
      <c r="T24" s="123">
        <f>IF(AND(KysymyksetTaulukko2[[#This Row],[Luokka + toimiala]]="Kuuluu",KysymyksetTaulukko2[[#This Row],[Vastaus]]="Kyllä"),1,0)</f>
        <v>0</v>
      </c>
      <c r="U24" s="121">
        <f>IF(AND(KysymyksetTaulukko2[[#This Row],[Maksimipisteet]]=1,NOT(ISBLANK(KysymyksetTaulukko2[[#This Row],[Vastaus]]))),1,0)</f>
        <v>0</v>
      </c>
      <c r="V24" s="123">
        <f>IF(OR(KysymyksetTaulukko2[[#This Row],[Luokka + toimiala]]="Ei kuulu",KysymyksetTaulukko2[[#This Row],[Vastaus]]="Ei koske",KysymyksetTaulukko2[[#This Row],[Luokka]]="Extra",KysymyksetTaulukko2[[#This Row],[Otsikkorivi]]="Kyllä"),0,1)</f>
        <v>0</v>
      </c>
    </row>
    <row r="25" spans="1:22" ht="28.5" x14ac:dyDescent="0.35">
      <c r="A25" s="3" t="s">
        <v>6</v>
      </c>
      <c r="B25" s="3" t="str">
        <f>IF(ISNUMBER(SEARCH("," &amp; LV!$B$10 &amp; ",", "," &amp; SUBSTITUTE(A25, " ", "")&amp; ",")),
  "Kuuluu",
  IF(AND(LV!$B$10&gt;=2,
      LV!$B$10&lt;=4,
      OR(ISNUMBER(SEARCH("," &amp;(LV!$B$10+1)&amp; ",", "," &amp; SUBSTITUTE(A25, " ", "")&amp; ",")),
        ISNUMBER(SEARCH("," &amp;(LV!$B$10+2)&amp; ",", "," &amp; SUBSTITUTE(A25, " ", "")&amp; ",")),
        ISNUMBER(SEARCH("," &amp;(LV!$B$10+3)&amp; ",", "," &amp; SUBSTITUTE(A25, " ", "")&amp; ",")),
        ISNUMBER(SEARCH("," &amp;(LV!$B$10+4)&amp; ",", "," &amp; SUBSTITUTE(A25, " ", "")&amp; ",")),
        ISNUMBER(SEARCH("," &amp;(LV!$B$10+5)&amp; ",", "," &amp; SUBSTITUTE(A25, " ", "")&amp; ",")))),
    "Extra",
    "Ei kuulu"))</f>
        <v>Ei kuulu</v>
      </c>
      <c r="C25" s="3" t="s">
        <v>28</v>
      </c>
      <c r="D25" s="3" t="str">
        <f>IF(ISNUMBER(SEARCH(LV!$I$5, Kustannustehokas_ja_organisoitu!C25)), "K", "E")</f>
        <v>E</v>
      </c>
      <c r="E25" s="3" t="str">
        <f>IF(ISNUMBER(SEARCH(LV!$I$6, Kustannustehokas_ja_organisoitu!$C25)), "K", "E")</f>
        <v>E</v>
      </c>
      <c r="F25" s="3" t="str">
        <f>IF(ISNUMBER(SEARCH(LV!$I$7, Kustannustehokas_ja_organisoitu!$C25)), "K", "E")</f>
        <v>E</v>
      </c>
      <c r="G25" s="3" t="str">
        <f>IF(ISNUMBER(SEARCH(LV!$I$8, Kustannustehokas_ja_organisoitu!$C25)), "K", "E")</f>
        <v>E</v>
      </c>
      <c r="H25" s="3" t="str">
        <f>IF(OR(KysymyksetTaulukko2[[#This Row],[Toimiala A]]="K",KysymyksetTaulukko2[[#This Row],[Toimiala B]]="K",KysymyksetTaulukko2[[#This Row],[Toimiala C]]="K",KysymyksetTaulukko2[[#This Row],[Toimiala D]]="K"),"Kuuluu","Ei kuulu")</f>
        <v>Ei kuulu</v>
      </c>
      <c r="I25" s="3" t="str">
        <f>IF(OR(KysymyksetTaulukko2[[#This Row],[Luokka]]="Ei kuulu",KysymyksetTaulukko2[[#This Row],[Toimiala-
kysymys]]="Ei kuulu"), "Ei kuulu", "Kuuluu")</f>
        <v>Ei kuulu</v>
      </c>
      <c r="J25" s="3" t="str">
        <f>IF(KysymyksetTaulukko2[[#This Row],[Luokka + toimiala]]="Kuuluu","a) Oman vesilaitoksen kysymykset","b) Muut kysymykset")</f>
        <v>b) Muut kysymykset</v>
      </c>
      <c r="K25" s="9" t="s">
        <v>80</v>
      </c>
      <c r="L25" s="9" t="s">
        <v>241</v>
      </c>
      <c r="M25" s="61" t="str">
        <f>LEFT(KysymyksetTaulukko2[[#This Row],[Alakategoria_]],2)</f>
        <v>_O</v>
      </c>
      <c r="N25" s="107"/>
      <c r="O25" s="70"/>
      <c r="P25" s="67" t="str">
        <f>IF(AND(KysymyksetTaulukko2[[#This Row],[Luokka]]="Extra",KysymyksetTaulukko2[[#This Row],[Luokka + toimiala]]="Kuuluu"),"Extra","")</f>
        <v/>
      </c>
      <c r="Q25" s="114" t="s">
        <v>177</v>
      </c>
      <c r="R25" s="128" t="s">
        <v>101</v>
      </c>
      <c r="S25" s="158"/>
      <c r="T25" s="123">
        <f>IF(AND(KysymyksetTaulukko2[[#This Row],[Luokka + toimiala]]="Kuuluu",KysymyksetTaulukko2[[#This Row],[Vastaus]]="Kyllä"),1,0)</f>
        <v>0</v>
      </c>
      <c r="U25" s="121">
        <f>IF(AND(KysymyksetTaulukko2[[#This Row],[Maksimipisteet]]=1,NOT(ISBLANK(KysymyksetTaulukko2[[#This Row],[Vastaus]]))),1,0)</f>
        <v>0</v>
      </c>
      <c r="V25" s="123">
        <f>IF(OR(KysymyksetTaulukko2[[#This Row],[Luokka + toimiala]]="Ei kuulu",KysymyksetTaulukko2[[#This Row],[Vastaus]]="Ei koske",KysymyksetTaulukko2[[#This Row],[Luokka]]="Extra",KysymyksetTaulukko2[[#This Row],[Otsikkorivi]]="Kyllä"),0,1)</f>
        <v>0</v>
      </c>
    </row>
    <row r="26" spans="1:22" ht="29" x14ac:dyDescent="0.35">
      <c r="A26" s="3" t="s">
        <v>12</v>
      </c>
      <c r="B26" s="3" t="str">
        <f>IF(ISNUMBER(SEARCH("," &amp; LV!$B$10 &amp; ",", "," &amp; SUBSTITUTE(A26, " ", "")&amp; ",")),
  "Kuuluu",
  IF(AND(LV!$B$10&gt;=2,
      LV!$B$10&lt;=4,
      OR(ISNUMBER(SEARCH("," &amp;(LV!$B$10+1)&amp; ",", "," &amp; SUBSTITUTE(A26, " ", "")&amp; ",")),
        ISNUMBER(SEARCH("," &amp;(LV!$B$10+2)&amp; ",", "," &amp; SUBSTITUTE(A26, " ", "")&amp; ",")),
        ISNUMBER(SEARCH("," &amp;(LV!$B$10+3)&amp; ",", "," &amp; SUBSTITUTE(A26, " ", "")&amp; ",")),
        ISNUMBER(SEARCH("," &amp;(LV!$B$10+4)&amp; ",", "," &amp; SUBSTITUTE(A26, " ", "")&amp; ",")),
        ISNUMBER(SEARCH("," &amp;(LV!$B$10+5)&amp; ",", "," &amp; SUBSTITUTE(A26, " ", "")&amp; ",")))),
    "Extra",
    "Ei kuulu"))</f>
        <v>Ei kuulu</v>
      </c>
      <c r="C26" s="3" t="s">
        <v>28</v>
      </c>
      <c r="D26" s="3" t="str">
        <f>IF(ISNUMBER(SEARCH(LV!$I$5, Kustannustehokas_ja_organisoitu!C26)), "K", "E")</f>
        <v>E</v>
      </c>
      <c r="E26" s="3" t="str">
        <f>IF(ISNUMBER(SEARCH(LV!$I$6, Kustannustehokas_ja_organisoitu!$C26)), "K", "E")</f>
        <v>E</v>
      </c>
      <c r="F26" s="3" t="str">
        <f>IF(ISNUMBER(SEARCH(LV!$I$7, Kustannustehokas_ja_organisoitu!$C26)), "K", "E")</f>
        <v>E</v>
      </c>
      <c r="G26" s="3" t="str">
        <f>IF(ISNUMBER(SEARCH(LV!$I$8, Kustannustehokas_ja_organisoitu!$C26)), "K", "E")</f>
        <v>E</v>
      </c>
      <c r="H26" s="3" t="str">
        <f>IF(OR(KysymyksetTaulukko2[[#This Row],[Toimiala A]]="K",KysymyksetTaulukko2[[#This Row],[Toimiala B]]="K",KysymyksetTaulukko2[[#This Row],[Toimiala C]]="K",KysymyksetTaulukko2[[#This Row],[Toimiala D]]="K"),"Kuuluu","Ei kuulu")</f>
        <v>Ei kuulu</v>
      </c>
      <c r="I26" s="3" t="str">
        <f>IF(OR(KysymyksetTaulukko2[[#This Row],[Luokka]]="Ei kuulu",KysymyksetTaulukko2[[#This Row],[Toimiala-
kysymys]]="Ei kuulu"), "Ei kuulu", "Kuuluu")</f>
        <v>Ei kuulu</v>
      </c>
      <c r="J26" s="3" t="str">
        <f>IF(KysymyksetTaulukko2[[#This Row],[Luokka + toimiala]]="Kuuluu","a) Oman vesilaitoksen kysymykset","b) Muut kysymykset")</f>
        <v>b) Muut kysymykset</v>
      </c>
      <c r="K26" s="9" t="s">
        <v>80</v>
      </c>
      <c r="L26" s="9" t="s">
        <v>101</v>
      </c>
      <c r="M26" s="60" t="str">
        <f>LEFT(KysymyksetTaulukko2[[#This Row],[Alakategoria_]],2)</f>
        <v>7.</v>
      </c>
      <c r="N26" s="107"/>
      <c r="O26" s="70" t="s">
        <v>222</v>
      </c>
      <c r="P26" s="67" t="str">
        <f>IF(AND(KysymyksetTaulukko2[[#This Row],[Luokka]]="Extra",KysymyksetTaulukko2[[#This Row],[Luokka + toimiala]]="Kuuluu"),"Extra","")</f>
        <v/>
      </c>
      <c r="Q26" s="114"/>
      <c r="R26" s="64" t="s">
        <v>102</v>
      </c>
      <c r="S26" s="159"/>
      <c r="T26" s="123">
        <f>IF(AND(KysymyksetTaulukko2[[#This Row],[Luokka + toimiala]]="Kuuluu",KysymyksetTaulukko2[[#This Row],[Vastaus]]="Kyllä"),1,0)</f>
        <v>0</v>
      </c>
      <c r="U26" s="121">
        <f>IF(AND(KysymyksetTaulukko2[[#This Row],[Maksimipisteet]]=1,NOT(ISBLANK(KysymyksetTaulukko2[[#This Row],[Vastaus]]))),1,0)</f>
        <v>0</v>
      </c>
      <c r="V26" s="123">
        <f>IF(OR(KysymyksetTaulukko2[[#This Row],[Luokka + toimiala]]="Ei kuulu",KysymyksetTaulukko2[[#This Row],[Vastaus]]="Ei koske",KysymyksetTaulukko2[[#This Row],[Luokka]]="Extra",KysymyksetTaulukko2[[#This Row],[Otsikkorivi]]="Kyllä"),0,1)</f>
        <v>0</v>
      </c>
    </row>
    <row r="27" spans="1:22" ht="29" x14ac:dyDescent="0.35">
      <c r="A27" s="3" t="s">
        <v>12</v>
      </c>
      <c r="B27" s="3" t="str">
        <f>IF(ISNUMBER(SEARCH("," &amp; LV!$B$10 &amp; ",", "," &amp; SUBSTITUTE(A27, " ", "")&amp; ",")),
  "Kuuluu",
  IF(AND(LV!$B$10&gt;=2,
      LV!$B$10&lt;=4,
      OR(ISNUMBER(SEARCH("," &amp;(LV!$B$10+1)&amp; ",", "," &amp; SUBSTITUTE(A27, " ", "")&amp; ",")),
        ISNUMBER(SEARCH("," &amp;(LV!$B$10+2)&amp; ",", "," &amp; SUBSTITUTE(A27, " ", "")&amp; ",")),
        ISNUMBER(SEARCH("," &amp;(LV!$B$10+3)&amp; ",", "," &amp; SUBSTITUTE(A27, " ", "")&amp; ",")),
        ISNUMBER(SEARCH("," &amp;(LV!$B$10+4)&amp; ",", "," &amp; SUBSTITUTE(A27, " ", "")&amp; ",")),
        ISNUMBER(SEARCH("," &amp;(LV!$B$10+5)&amp; ",", "," &amp; SUBSTITUTE(A27, " ", "")&amp; ",")))),
    "Extra",
    "Ei kuulu"))</f>
        <v>Ei kuulu</v>
      </c>
      <c r="C27" s="3" t="s">
        <v>28</v>
      </c>
      <c r="D27" s="3" t="str">
        <f>IF(ISNUMBER(SEARCH(LV!$I$5, Kustannustehokas_ja_organisoitu!C27)), "K", "E")</f>
        <v>E</v>
      </c>
      <c r="E27" s="3" t="str">
        <f>IF(ISNUMBER(SEARCH(LV!$I$6, Kustannustehokas_ja_organisoitu!$C27)), "K", "E")</f>
        <v>E</v>
      </c>
      <c r="F27" s="3" t="str">
        <f>IF(ISNUMBER(SEARCH(LV!$I$7, Kustannustehokas_ja_organisoitu!$C27)), "K", "E")</f>
        <v>E</v>
      </c>
      <c r="G27" s="3" t="str">
        <f>IF(ISNUMBER(SEARCH(LV!$I$8, Kustannustehokas_ja_organisoitu!$C27)), "K", "E")</f>
        <v>E</v>
      </c>
      <c r="H27" s="3" t="str">
        <f>IF(OR(KysymyksetTaulukko2[[#This Row],[Toimiala A]]="K",KysymyksetTaulukko2[[#This Row],[Toimiala B]]="K",KysymyksetTaulukko2[[#This Row],[Toimiala C]]="K",KysymyksetTaulukko2[[#This Row],[Toimiala D]]="K"),"Kuuluu","Ei kuulu")</f>
        <v>Ei kuulu</v>
      </c>
      <c r="I27" s="3" t="str">
        <f>IF(OR(KysymyksetTaulukko2[[#This Row],[Luokka]]="Ei kuulu",KysymyksetTaulukko2[[#This Row],[Toimiala-
kysymys]]="Ei kuulu"), "Ei kuulu", "Kuuluu")</f>
        <v>Ei kuulu</v>
      </c>
      <c r="J27" s="3" t="str">
        <f>IF(KysymyksetTaulukko2[[#This Row],[Luokka + toimiala]]="Kuuluu","a) Oman vesilaitoksen kysymykset","b) Muut kysymykset")</f>
        <v>b) Muut kysymykset</v>
      </c>
      <c r="K27" s="9" t="s">
        <v>80</v>
      </c>
      <c r="L27" s="9" t="s">
        <v>101</v>
      </c>
      <c r="M27" s="61" t="str">
        <f>LEFT(KysymyksetTaulukko2[[#This Row],[Alakategoria_]],2)</f>
        <v>7.</v>
      </c>
      <c r="N27" s="107" t="s">
        <v>11</v>
      </c>
      <c r="O27" s="70" t="s">
        <v>206</v>
      </c>
      <c r="P27" s="67" t="str">
        <f>IF(AND(KysymyksetTaulukko2[[#This Row],[Luokka]]="Extra",KysymyksetTaulukko2[[#This Row],[Luokka + toimiala]]="Kuuluu"),"Extra","")</f>
        <v/>
      </c>
      <c r="Q27" s="114"/>
      <c r="R27" s="64" t="s">
        <v>280</v>
      </c>
      <c r="S27" s="159"/>
      <c r="T27" s="123">
        <f>IF(AND(KysymyksetTaulukko2[[#This Row],[Luokka + toimiala]]="Kuuluu",KysymyksetTaulukko2[[#This Row],[Vastaus]]="Kyllä"),1,0)</f>
        <v>0</v>
      </c>
      <c r="U27" s="121">
        <f>IF(AND(KysymyksetTaulukko2[[#This Row],[Maksimipisteet]]=1,NOT(ISBLANK(KysymyksetTaulukko2[[#This Row],[Vastaus]]))),1,0)</f>
        <v>0</v>
      </c>
      <c r="V27" s="123">
        <f>IF(OR(KysymyksetTaulukko2[[#This Row],[Luokka + toimiala]]="Ei kuulu",KysymyksetTaulukko2[[#This Row],[Vastaus]]="Ei koske",KysymyksetTaulukko2[[#This Row],[Luokka]]="Extra",KysymyksetTaulukko2[[#This Row],[Otsikkorivi]]="Kyllä"),0,1)</f>
        <v>0</v>
      </c>
    </row>
    <row r="28" spans="1:22" ht="29" x14ac:dyDescent="0.35">
      <c r="A28" s="3" t="s">
        <v>12</v>
      </c>
      <c r="B28" s="3" t="str">
        <f>IF(ISNUMBER(SEARCH("," &amp; LV!$B$10 &amp; ",", "," &amp; SUBSTITUTE(A28, " ", "")&amp; ",")),
  "Kuuluu",
  IF(AND(LV!$B$10&gt;=2,
      LV!$B$10&lt;=4,
      OR(ISNUMBER(SEARCH("," &amp;(LV!$B$10+1)&amp; ",", "," &amp; SUBSTITUTE(A28, " ", "")&amp; ",")),
        ISNUMBER(SEARCH("," &amp;(LV!$B$10+2)&amp; ",", "," &amp; SUBSTITUTE(A28, " ", "")&amp; ",")),
        ISNUMBER(SEARCH("," &amp;(LV!$B$10+3)&amp; ",", "," &amp; SUBSTITUTE(A28, " ", "")&amp; ",")),
        ISNUMBER(SEARCH("," &amp;(LV!$B$10+4)&amp; ",", "," &amp; SUBSTITUTE(A28, " ", "")&amp; ",")),
        ISNUMBER(SEARCH("," &amp;(LV!$B$10+5)&amp; ",", "," &amp; SUBSTITUTE(A28, " ", "")&amp; ",")))),
    "Extra",
    "Ei kuulu"))</f>
        <v>Ei kuulu</v>
      </c>
      <c r="C28" s="3" t="s">
        <v>28</v>
      </c>
      <c r="D28" s="3" t="str">
        <f>IF(ISNUMBER(SEARCH(LV!$I$5, Kustannustehokas_ja_organisoitu!C28)), "K", "E")</f>
        <v>E</v>
      </c>
      <c r="E28" s="3" t="str">
        <f>IF(ISNUMBER(SEARCH(LV!$I$6, Kustannustehokas_ja_organisoitu!$C28)), "K", "E")</f>
        <v>E</v>
      </c>
      <c r="F28" s="3" t="str">
        <f>IF(ISNUMBER(SEARCH(LV!$I$7, Kustannustehokas_ja_organisoitu!$C28)), "K", "E")</f>
        <v>E</v>
      </c>
      <c r="G28" s="3" t="str">
        <f>IF(ISNUMBER(SEARCH(LV!$I$8, Kustannustehokas_ja_organisoitu!$C28)), "K", "E")</f>
        <v>E</v>
      </c>
      <c r="H28" s="3" t="str">
        <f>IF(OR(KysymyksetTaulukko2[[#This Row],[Toimiala A]]="K",KysymyksetTaulukko2[[#This Row],[Toimiala B]]="K",KysymyksetTaulukko2[[#This Row],[Toimiala C]]="K",KysymyksetTaulukko2[[#This Row],[Toimiala D]]="K"),"Kuuluu","Ei kuulu")</f>
        <v>Ei kuulu</v>
      </c>
      <c r="I28" s="3" t="str">
        <f>IF(OR(KysymyksetTaulukko2[[#This Row],[Luokka]]="Ei kuulu",KysymyksetTaulukko2[[#This Row],[Toimiala-
kysymys]]="Ei kuulu"), "Ei kuulu", "Kuuluu")</f>
        <v>Ei kuulu</v>
      </c>
      <c r="J28" s="3" t="str">
        <f>IF(KysymyksetTaulukko2[[#This Row],[Luokka + toimiala]]="Kuuluu","a) Oman vesilaitoksen kysymykset","b) Muut kysymykset")</f>
        <v>b) Muut kysymykset</v>
      </c>
      <c r="K28" s="9" t="s">
        <v>80</v>
      </c>
      <c r="L28" s="9" t="s">
        <v>101</v>
      </c>
      <c r="M28" s="61" t="str">
        <f>LEFT(KysymyksetTaulukko2[[#This Row],[Alakategoria_]],2)</f>
        <v>7.</v>
      </c>
      <c r="N28" s="107" t="s">
        <v>11</v>
      </c>
      <c r="O28" s="70" t="s">
        <v>206</v>
      </c>
      <c r="P28" s="67" t="str">
        <f>IF(AND(KysymyksetTaulukko2[[#This Row],[Luokka]]="Extra",KysymyksetTaulukko2[[#This Row],[Luokka + toimiala]]="Kuuluu"),"Extra","")</f>
        <v/>
      </c>
      <c r="Q28" s="114"/>
      <c r="R28" s="64" t="s">
        <v>279</v>
      </c>
      <c r="S28" s="159"/>
      <c r="T28" s="123">
        <f>IF(AND(KysymyksetTaulukko2[[#This Row],[Luokka + toimiala]]="Kuuluu",KysymyksetTaulukko2[[#This Row],[Vastaus]]="Kyllä"),1,0)</f>
        <v>0</v>
      </c>
      <c r="U28" s="121">
        <f>IF(AND(KysymyksetTaulukko2[[#This Row],[Maksimipisteet]]=1,NOT(ISBLANK(KysymyksetTaulukko2[[#This Row],[Vastaus]]))),1,0)</f>
        <v>0</v>
      </c>
      <c r="V28" s="123">
        <f>IF(OR(KysymyksetTaulukko2[[#This Row],[Luokka + toimiala]]="Ei kuulu",KysymyksetTaulukko2[[#This Row],[Vastaus]]="Ei koske",KysymyksetTaulukko2[[#This Row],[Luokka]]="Extra",KysymyksetTaulukko2[[#This Row],[Otsikkorivi]]="Kyllä"),0,1)</f>
        <v>0</v>
      </c>
    </row>
    <row r="29" spans="1:22" ht="28.5" x14ac:dyDescent="0.35">
      <c r="A29" s="3" t="s">
        <v>12</v>
      </c>
      <c r="B29" s="3" t="str">
        <f>IF(ISNUMBER(SEARCH("," &amp; LV!$B$10 &amp; ",", "," &amp; SUBSTITUTE(A29, " ", "")&amp; ",")),
  "Kuuluu",
  IF(AND(LV!$B$10&gt;=2,
      LV!$B$10&lt;=4,
      OR(ISNUMBER(SEARCH("," &amp;(LV!$B$10+1)&amp; ",", "," &amp; SUBSTITUTE(A29, " ", "")&amp; ",")),
        ISNUMBER(SEARCH("," &amp;(LV!$B$10+2)&amp; ",", "," &amp; SUBSTITUTE(A29, " ", "")&amp; ",")),
        ISNUMBER(SEARCH("," &amp;(LV!$B$10+3)&amp; ",", "," &amp; SUBSTITUTE(A29, " ", "")&amp; ",")),
        ISNUMBER(SEARCH("," &amp;(LV!$B$10+4)&amp; ",", "," &amp; SUBSTITUTE(A29, " ", "")&amp; ",")),
        ISNUMBER(SEARCH("," &amp;(LV!$B$10+5)&amp; ",", "," &amp; SUBSTITUTE(A29, " ", "")&amp; ",")))),
    "Extra",
    "Ei kuulu"))</f>
        <v>Ei kuulu</v>
      </c>
      <c r="C29" s="3" t="s">
        <v>28</v>
      </c>
      <c r="D29" s="3" t="str">
        <f>IF(ISNUMBER(SEARCH(LV!$I$5, Kustannustehokas_ja_organisoitu!C29)), "K", "E")</f>
        <v>E</v>
      </c>
      <c r="E29" s="3" t="str">
        <f>IF(ISNUMBER(SEARCH(LV!$I$6, Kustannustehokas_ja_organisoitu!$C29)), "K", "E")</f>
        <v>E</v>
      </c>
      <c r="F29" s="3" t="str">
        <f>IF(ISNUMBER(SEARCH(LV!$I$7, Kustannustehokas_ja_organisoitu!$C29)), "K", "E")</f>
        <v>E</v>
      </c>
      <c r="G29" s="3" t="str">
        <f>IF(ISNUMBER(SEARCH(LV!$I$8, Kustannustehokas_ja_organisoitu!$C29)), "K", "E")</f>
        <v>E</v>
      </c>
      <c r="H29" s="3" t="str">
        <f>IF(OR(KysymyksetTaulukko2[[#This Row],[Toimiala A]]="K",KysymyksetTaulukko2[[#This Row],[Toimiala B]]="K",KysymyksetTaulukko2[[#This Row],[Toimiala C]]="K",KysymyksetTaulukko2[[#This Row],[Toimiala D]]="K"),"Kuuluu","Ei kuulu")</f>
        <v>Ei kuulu</v>
      </c>
      <c r="I29" s="3" t="str">
        <f>IF(OR(KysymyksetTaulukko2[[#This Row],[Luokka]]="Ei kuulu",KysymyksetTaulukko2[[#This Row],[Toimiala-
kysymys]]="Ei kuulu"), "Ei kuulu", "Kuuluu")</f>
        <v>Ei kuulu</v>
      </c>
      <c r="J29" s="3" t="str">
        <f>IF(KysymyksetTaulukko2[[#This Row],[Luokka + toimiala]]="Kuuluu","a) Oman vesilaitoksen kysymykset","b) Muut kysymykset")</f>
        <v>b) Muut kysymykset</v>
      </c>
      <c r="K29" s="9" t="s">
        <v>80</v>
      </c>
      <c r="L29" s="9" t="s">
        <v>101</v>
      </c>
      <c r="M29" s="61" t="str">
        <f>LEFT(KysymyksetTaulukko2[[#This Row],[Alakategoria_]],2)</f>
        <v>7.</v>
      </c>
      <c r="N29" s="107"/>
      <c r="O29" s="70" t="s">
        <v>222</v>
      </c>
      <c r="P29" s="67" t="str">
        <f>IF(AND(KysymyksetTaulukko2[[#This Row],[Luokka]]="Extra",KysymyksetTaulukko2[[#This Row],[Luokka + toimiala]]="Kuuluu"),"Extra","")</f>
        <v/>
      </c>
      <c r="Q29" s="114"/>
      <c r="R29" s="64" t="s">
        <v>105</v>
      </c>
      <c r="S29" s="159"/>
      <c r="T29" s="123">
        <f>IF(AND(KysymyksetTaulukko2[[#This Row],[Luokka + toimiala]]="Kuuluu",KysymyksetTaulukko2[[#This Row],[Vastaus]]="Kyllä"),1,0)</f>
        <v>0</v>
      </c>
      <c r="U29" s="121">
        <f>IF(AND(KysymyksetTaulukko2[[#This Row],[Maksimipisteet]]=1,NOT(ISBLANK(KysymyksetTaulukko2[[#This Row],[Vastaus]]))),1,0)</f>
        <v>0</v>
      </c>
      <c r="V29" s="123">
        <f>IF(OR(KysymyksetTaulukko2[[#This Row],[Luokka + toimiala]]="Ei kuulu",KysymyksetTaulukko2[[#This Row],[Vastaus]]="Ei koske",KysymyksetTaulukko2[[#This Row],[Luokka]]="Extra",KysymyksetTaulukko2[[#This Row],[Otsikkorivi]]="Kyllä"),0,1)</f>
        <v>0</v>
      </c>
    </row>
    <row r="30" spans="1:22" ht="29" x14ac:dyDescent="0.35">
      <c r="A30" s="3" t="s">
        <v>12</v>
      </c>
      <c r="B30" s="3" t="str">
        <f>IF(ISNUMBER(SEARCH("," &amp; LV!$B$10 &amp; ",", "," &amp; SUBSTITUTE(A30, " ", "")&amp; ",")),
  "Kuuluu",
  IF(AND(LV!$B$10&gt;=2,
      LV!$B$10&lt;=4,
      OR(ISNUMBER(SEARCH("," &amp;(LV!$B$10+1)&amp; ",", "," &amp; SUBSTITUTE(A30, " ", "")&amp; ",")),
        ISNUMBER(SEARCH("," &amp;(LV!$B$10+2)&amp; ",", "," &amp; SUBSTITUTE(A30, " ", "")&amp; ",")),
        ISNUMBER(SEARCH("," &amp;(LV!$B$10+3)&amp; ",", "," &amp; SUBSTITUTE(A30, " ", "")&amp; ",")),
        ISNUMBER(SEARCH("," &amp;(LV!$B$10+4)&amp; ",", "," &amp; SUBSTITUTE(A30, " ", "")&amp; ",")),
        ISNUMBER(SEARCH("," &amp;(LV!$B$10+5)&amp; ",", "," &amp; SUBSTITUTE(A30, " ", "")&amp; ",")))),
    "Extra",
    "Ei kuulu"))</f>
        <v>Ei kuulu</v>
      </c>
      <c r="C30" s="3" t="s">
        <v>28</v>
      </c>
      <c r="D30" s="3" t="str">
        <f>IF(ISNUMBER(SEARCH(LV!$I$5, Kustannustehokas_ja_organisoitu!C30)), "K", "E")</f>
        <v>E</v>
      </c>
      <c r="E30" s="3" t="str">
        <f>IF(ISNUMBER(SEARCH(LV!$I$6, Kustannustehokas_ja_organisoitu!$C30)), "K", "E")</f>
        <v>E</v>
      </c>
      <c r="F30" s="3" t="str">
        <f>IF(ISNUMBER(SEARCH(LV!$I$7, Kustannustehokas_ja_organisoitu!$C30)), "K", "E")</f>
        <v>E</v>
      </c>
      <c r="G30" s="3" t="str">
        <f>IF(ISNUMBER(SEARCH(LV!$I$8, Kustannustehokas_ja_organisoitu!$C30)), "K", "E")</f>
        <v>E</v>
      </c>
      <c r="H30" s="3" t="str">
        <f>IF(OR(KysymyksetTaulukko2[[#This Row],[Toimiala A]]="K",KysymyksetTaulukko2[[#This Row],[Toimiala B]]="K",KysymyksetTaulukko2[[#This Row],[Toimiala C]]="K",KysymyksetTaulukko2[[#This Row],[Toimiala D]]="K"),"Kuuluu","Ei kuulu")</f>
        <v>Ei kuulu</v>
      </c>
      <c r="I30" s="3" t="str">
        <f>IF(OR(KysymyksetTaulukko2[[#This Row],[Luokka]]="Ei kuulu",KysymyksetTaulukko2[[#This Row],[Toimiala-
kysymys]]="Ei kuulu"), "Ei kuulu", "Kuuluu")</f>
        <v>Ei kuulu</v>
      </c>
      <c r="J30" s="3" t="str">
        <f>IF(KysymyksetTaulukko2[[#This Row],[Luokka + toimiala]]="Kuuluu","a) Oman vesilaitoksen kysymykset","b) Muut kysymykset")</f>
        <v>b) Muut kysymykset</v>
      </c>
      <c r="K30" s="9" t="s">
        <v>80</v>
      </c>
      <c r="L30" s="9" t="s">
        <v>101</v>
      </c>
      <c r="M30" s="61" t="str">
        <f>LEFT(KysymyksetTaulukko2[[#This Row],[Alakategoria_]],2)</f>
        <v>7.</v>
      </c>
      <c r="N30" s="107" t="s">
        <v>11</v>
      </c>
      <c r="O30" s="70" t="s">
        <v>206</v>
      </c>
      <c r="P30" s="67" t="str">
        <f>IF(AND(KysymyksetTaulukko2[[#This Row],[Luokka]]="Extra",KysymyksetTaulukko2[[#This Row],[Luokka + toimiala]]="Kuuluu"),"Extra","")</f>
        <v/>
      </c>
      <c r="Q30" s="114"/>
      <c r="R30" s="64" t="s">
        <v>106</v>
      </c>
      <c r="S30" s="159"/>
      <c r="T30" s="123">
        <f>IF(AND(KysymyksetTaulukko2[[#This Row],[Luokka + toimiala]]="Kuuluu",KysymyksetTaulukko2[[#This Row],[Vastaus]]="Kyllä"),1,0)</f>
        <v>0</v>
      </c>
      <c r="U30" s="121">
        <f>IF(AND(KysymyksetTaulukko2[[#This Row],[Maksimipisteet]]=1,NOT(ISBLANK(KysymyksetTaulukko2[[#This Row],[Vastaus]]))),1,0)</f>
        <v>0</v>
      </c>
      <c r="V30" s="123">
        <f>IF(OR(KysymyksetTaulukko2[[#This Row],[Luokka + toimiala]]="Ei kuulu",KysymyksetTaulukko2[[#This Row],[Vastaus]]="Ei koske",KysymyksetTaulukko2[[#This Row],[Luokka]]="Extra",KysymyksetTaulukko2[[#This Row],[Otsikkorivi]]="Kyllä"),0,1)</f>
        <v>0</v>
      </c>
    </row>
    <row r="31" spans="1:22" s="1" customFormat="1" ht="28.5" x14ac:dyDescent="0.35">
      <c r="A31" s="3">
        <v>1</v>
      </c>
      <c r="B31" s="3" t="str">
        <f>IF(ISNUMBER(SEARCH("," &amp; LV!$B$10 &amp; ",", "," &amp; SUBSTITUTE(A31, " ", "")&amp; ",")),
  "Kuuluu",
  IF(AND(LV!$B$10&gt;=2,
      LV!$B$10&lt;=4,
      OR(ISNUMBER(SEARCH("," &amp;(LV!$B$10+1)&amp; ",", "," &amp; SUBSTITUTE(A31, " ", "")&amp; ",")),
        ISNUMBER(SEARCH("," &amp;(LV!$B$10+2)&amp; ",", "," &amp; SUBSTITUTE(A31, " ", "")&amp; ",")),
        ISNUMBER(SEARCH("," &amp;(LV!$B$10+3)&amp; ",", "," &amp; SUBSTITUTE(A31, " ", "")&amp; ",")),
        ISNUMBER(SEARCH("," &amp;(LV!$B$10+4)&amp; ",", "," &amp; SUBSTITUTE(A31, " ", "")&amp; ",")),
        ISNUMBER(SEARCH("," &amp;(LV!$B$10+5)&amp; ",", "," &amp; SUBSTITUTE(A31, " ", "")&amp; ",")))),
    "Extra",
    "Ei kuulu"))</f>
        <v>Ei kuulu</v>
      </c>
      <c r="C31" s="3" t="s">
        <v>28</v>
      </c>
      <c r="D31" s="3" t="str">
        <f>IF(ISNUMBER(SEARCH(LV!$I$5, Kustannustehokas_ja_organisoitu!C31)), "K", "E")</f>
        <v>E</v>
      </c>
      <c r="E31" s="3" t="str">
        <f>IF(ISNUMBER(SEARCH(LV!$I$6, Kustannustehokas_ja_organisoitu!$C31)), "K", "E")</f>
        <v>E</v>
      </c>
      <c r="F31" s="3" t="str">
        <f>IF(ISNUMBER(SEARCH(LV!$I$7, Kustannustehokas_ja_organisoitu!$C31)), "K", "E")</f>
        <v>E</v>
      </c>
      <c r="G31" s="3" t="str">
        <f>IF(ISNUMBER(SEARCH(LV!$I$8, Kustannustehokas_ja_organisoitu!$C31)), "K", "E")</f>
        <v>E</v>
      </c>
      <c r="H31" s="3" t="str">
        <f>IF(OR(KysymyksetTaulukko2[[#This Row],[Toimiala A]]="K",KysymyksetTaulukko2[[#This Row],[Toimiala B]]="K",KysymyksetTaulukko2[[#This Row],[Toimiala C]]="K",KysymyksetTaulukko2[[#This Row],[Toimiala D]]="K"),"Kuuluu","Ei kuulu")</f>
        <v>Ei kuulu</v>
      </c>
      <c r="I31" s="3" t="str">
        <f>IF(OR(KysymyksetTaulukko2[[#This Row],[Luokka]]="Ei kuulu",KysymyksetTaulukko2[[#This Row],[Toimiala-
kysymys]]="Ei kuulu"), "Ei kuulu", "Kuuluu")</f>
        <v>Ei kuulu</v>
      </c>
      <c r="J31" s="3" t="str">
        <f>IF(KysymyksetTaulukko2[[#This Row],[Luokka + toimiala]]="Kuuluu","a) Oman vesilaitoksen kysymykset","b) Muut kysymykset")</f>
        <v>b) Muut kysymykset</v>
      </c>
      <c r="K31" s="9" t="s">
        <v>80</v>
      </c>
      <c r="L31" s="9" t="s">
        <v>101</v>
      </c>
      <c r="M31" s="61" t="str">
        <f>LEFT(KysymyksetTaulukko2[[#This Row],[Alakategoria_]],2)</f>
        <v>7.</v>
      </c>
      <c r="N31" s="107"/>
      <c r="O31" s="70" t="s">
        <v>222</v>
      </c>
      <c r="P31" s="67" t="str">
        <f>IF(AND(KysymyksetTaulukko2[[#This Row],[Luokka]]="Extra",KysymyksetTaulukko2[[#This Row],[Luokka + toimiala]]="Kuuluu"),"Extra","")</f>
        <v/>
      </c>
      <c r="Q31" s="114"/>
      <c r="R31" s="64" t="s">
        <v>107</v>
      </c>
      <c r="S31" s="159"/>
      <c r="T31" s="123">
        <f>IF(AND(KysymyksetTaulukko2[[#This Row],[Luokka + toimiala]]="Kuuluu",KysymyksetTaulukko2[[#This Row],[Vastaus]]="Kyllä"),1,0)</f>
        <v>0</v>
      </c>
      <c r="U31" s="121">
        <f>IF(AND(KysymyksetTaulukko2[[#This Row],[Maksimipisteet]]=1,NOT(ISBLANK(KysymyksetTaulukko2[[#This Row],[Vastaus]]))),1,0)</f>
        <v>0</v>
      </c>
      <c r="V31" s="123">
        <f>IF(OR(KysymyksetTaulukko2[[#This Row],[Luokka + toimiala]]="Ei kuulu",KysymyksetTaulukko2[[#This Row],[Vastaus]]="Ei koske",KysymyksetTaulukko2[[#This Row],[Luokka]]="Extra",KysymyksetTaulukko2[[#This Row],[Otsikkorivi]]="Kyllä"),0,1)</f>
        <v>0</v>
      </c>
    </row>
    <row r="32" spans="1:22" ht="28.5" x14ac:dyDescent="0.35">
      <c r="A32" s="3" t="s">
        <v>19</v>
      </c>
      <c r="B32" s="3" t="str">
        <f>IF(ISNUMBER(SEARCH("," &amp; LV!$B$10 &amp; ",", "," &amp; SUBSTITUTE(A32, " ", "")&amp; ",")),
  "Kuuluu",
  IF(AND(LV!$B$10&gt;=2,
      LV!$B$10&lt;=4,
      OR(ISNUMBER(SEARCH("," &amp;(LV!$B$10+1)&amp; ",", "," &amp; SUBSTITUTE(A32, " ", "")&amp; ",")),
        ISNUMBER(SEARCH("," &amp;(LV!$B$10+2)&amp; ",", "," &amp; SUBSTITUTE(A32, " ", "")&amp; ",")),
        ISNUMBER(SEARCH("," &amp;(LV!$B$10+3)&amp; ",", "," &amp; SUBSTITUTE(A32, " ", "")&amp; ",")),
        ISNUMBER(SEARCH("," &amp;(LV!$B$10+4)&amp; ",", "," &amp; SUBSTITUTE(A32, " ", "")&amp; ",")),
        ISNUMBER(SEARCH("," &amp;(LV!$B$10+5)&amp; ",", "," &amp; SUBSTITUTE(A32, " ", "")&amp; ",")))),
    "Extra",
    "Ei kuulu"))</f>
        <v>Ei kuulu</v>
      </c>
      <c r="C32" s="3" t="s">
        <v>28</v>
      </c>
      <c r="D32" s="3" t="str">
        <f>IF(ISNUMBER(SEARCH(LV!$I$5, Kustannustehokas_ja_organisoitu!C32)), "K", "E")</f>
        <v>E</v>
      </c>
      <c r="E32" s="3" t="str">
        <f>IF(ISNUMBER(SEARCH(LV!$I$6, Kustannustehokas_ja_organisoitu!$C32)), "K", "E")</f>
        <v>E</v>
      </c>
      <c r="F32" s="3" t="str">
        <f>IF(ISNUMBER(SEARCH(LV!$I$7, Kustannustehokas_ja_organisoitu!$C32)), "K", "E")</f>
        <v>E</v>
      </c>
      <c r="G32" s="3" t="str">
        <f>IF(ISNUMBER(SEARCH(LV!$I$8, Kustannustehokas_ja_organisoitu!$C32)), "K", "E")</f>
        <v>E</v>
      </c>
      <c r="H32" s="3" t="str">
        <f>IF(OR(KysymyksetTaulukko2[[#This Row],[Toimiala A]]="K",KysymyksetTaulukko2[[#This Row],[Toimiala B]]="K",KysymyksetTaulukko2[[#This Row],[Toimiala C]]="K",KysymyksetTaulukko2[[#This Row],[Toimiala D]]="K"),"Kuuluu","Ei kuulu")</f>
        <v>Ei kuulu</v>
      </c>
      <c r="I32" s="3" t="str">
        <f>IF(OR(KysymyksetTaulukko2[[#This Row],[Luokka]]="Ei kuulu",KysymyksetTaulukko2[[#This Row],[Toimiala-
kysymys]]="Ei kuulu"), "Ei kuulu", "Kuuluu")</f>
        <v>Ei kuulu</v>
      </c>
      <c r="J32" s="3" t="str">
        <f>IF(KysymyksetTaulukko2[[#This Row],[Luokka + toimiala]]="Kuuluu","a) Oman vesilaitoksen kysymykset","b) Muut kysymykset")</f>
        <v>b) Muut kysymykset</v>
      </c>
      <c r="K32" s="9" t="s">
        <v>80</v>
      </c>
      <c r="L32" s="9" t="s">
        <v>101</v>
      </c>
      <c r="M32" s="61" t="str">
        <f>LEFT(KysymyksetTaulukko2[[#This Row],[Alakategoria_]],2)</f>
        <v>7.</v>
      </c>
      <c r="N32" s="107"/>
      <c r="O32" s="70" t="s">
        <v>222</v>
      </c>
      <c r="P32" s="67" t="str">
        <f>IF(AND(KysymyksetTaulukko2[[#This Row],[Luokka]]="Extra",KysymyksetTaulukko2[[#This Row],[Luokka + toimiala]]="Kuuluu"),"Extra","")</f>
        <v/>
      </c>
      <c r="Q32" s="114"/>
      <c r="R32" s="64" t="s">
        <v>108</v>
      </c>
      <c r="S32" s="159"/>
      <c r="T32" s="123">
        <f>IF(AND(KysymyksetTaulukko2[[#This Row],[Luokka + toimiala]]="Kuuluu",KysymyksetTaulukko2[[#This Row],[Vastaus]]="Kyllä"),1,0)</f>
        <v>0</v>
      </c>
      <c r="U32" s="121">
        <f>IF(AND(KysymyksetTaulukko2[[#This Row],[Maksimipisteet]]=1,NOT(ISBLANK(KysymyksetTaulukko2[[#This Row],[Vastaus]]))),1,0)</f>
        <v>0</v>
      </c>
      <c r="V32" s="123">
        <f>IF(OR(KysymyksetTaulukko2[[#This Row],[Luokka + toimiala]]="Ei kuulu",KysymyksetTaulukko2[[#This Row],[Vastaus]]="Ei koske",KysymyksetTaulukko2[[#This Row],[Luokka]]="Extra",KysymyksetTaulukko2[[#This Row],[Otsikkorivi]]="Kyllä"),0,1)</f>
        <v>0</v>
      </c>
    </row>
    <row r="33" spans="1:22" ht="29" x14ac:dyDescent="0.35">
      <c r="A33" s="3">
        <v>3.4</v>
      </c>
      <c r="B33" s="3" t="str">
        <f>IF(ISNUMBER(SEARCH("," &amp; LV!$B$10 &amp; ",", "," &amp; SUBSTITUTE(A33, " ", "")&amp; ",")),
  "Kuuluu",
  IF(AND(LV!$B$10&gt;=2,
      LV!$B$10&lt;=4,
      OR(ISNUMBER(SEARCH("," &amp;(LV!$B$10+1)&amp; ",", "," &amp; SUBSTITUTE(A33, " ", "")&amp; ",")),
        ISNUMBER(SEARCH("," &amp;(LV!$B$10+2)&amp; ",", "," &amp; SUBSTITUTE(A33, " ", "")&amp; ",")),
        ISNUMBER(SEARCH("," &amp;(LV!$B$10+3)&amp; ",", "," &amp; SUBSTITUTE(A33, " ", "")&amp; ",")),
        ISNUMBER(SEARCH("," &amp;(LV!$B$10+4)&amp; ",", "," &amp; SUBSTITUTE(A33, " ", "")&amp; ",")),
        ISNUMBER(SEARCH("," &amp;(LV!$B$10+5)&amp; ",", "," &amp; SUBSTITUTE(A33, " ", "")&amp; ",")))),
    "Extra",
    "Ei kuulu"))</f>
        <v>Ei kuulu</v>
      </c>
      <c r="C33" s="3" t="s">
        <v>28</v>
      </c>
      <c r="D33" s="3" t="str">
        <f>IF(ISNUMBER(SEARCH(LV!$I$5, Kustannustehokas_ja_organisoitu!C33)), "K", "E")</f>
        <v>E</v>
      </c>
      <c r="E33" s="3" t="str">
        <f>IF(ISNUMBER(SEARCH(LV!$I$6, Kustannustehokas_ja_organisoitu!$C33)), "K", "E")</f>
        <v>E</v>
      </c>
      <c r="F33" s="3" t="str">
        <f>IF(ISNUMBER(SEARCH(LV!$I$7, Kustannustehokas_ja_organisoitu!$C33)), "K", "E")</f>
        <v>E</v>
      </c>
      <c r="G33" s="3" t="str">
        <f>IF(ISNUMBER(SEARCH(LV!$I$8, Kustannustehokas_ja_organisoitu!$C33)), "K", "E")</f>
        <v>E</v>
      </c>
      <c r="H33" s="3" t="str">
        <f>IF(OR(KysymyksetTaulukko2[[#This Row],[Toimiala A]]="K",KysymyksetTaulukko2[[#This Row],[Toimiala B]]="K",KysymyksetTaulukko2[[#This Row],[Toimiala C]]="K",KysymyksetTaulukko2[[#This Row],[Toimiala D]]="K"),"Kuuluu","Ei kuulu")</f>
        <v>Ei kuulu</v>
      </c>
      <c r="I33" s="3" t="str">
        <f>IF(OR(KysymyksetTaulukko2[[#This Row],[Luokka]]="Ei kuulu",KysymyksetTaulukko2[[#This Row],[Toimiala-
kysymys]]="Ei kuulu"), "Ei kuulu", "Kuuluu")</f>
        <v>Ei kuulu</v>
      </c>
      <c r="J33" s="3" t="str">
        <f>IF(KysymyksetTaulukko2[[#This Row],[Luokka + toimiala]]="Kuuluu","a) Oman vesilaitoksen kysymykset","b) Muut kysymykset")</f>
        <v>b) Muut kysymykset</v>
      </c>
      <c r="K33" s="9" t="s">
        <v>80</v>
      </c>
      <c r="L33" s="9" t="s">
        <v>101</v>
      </c>
      <c r="M33" s="61" t="str">
        <f>LEFT(KysymyksetTaulukko2[[#This Row],[Alakategoria_]],2)</f>
        <v>7.</v>
      </c>
      <c r="N33" s="107"/>
      <c r="O33" s="70" t="s">
        <v>222</v>
      </c>
      <c r="P33" s="67" t="str">
        <f>IF(AND(KysymyksetTaulukko2[[#This Row],[Luokka]]="Extra",KysymyksetTaulukko2[[#This Row],[Luokka + toimiala]]="Kuuluu"),"Extra","")</f>
        <v/>
      </c>
      <c r="Q33" s="114"/>
      <c r="R33" s="64" t="s">
        <v>109</v>
      </c>
      <c r="S33" s="159"/>
      <c r="T33" s="123">
        <f>IF(AND(KysymyksetTaulukko2[[#This Row],[Luokka + toimiala]]="Kuuluu",KysymyksetTaulukko2[[#This Row],[Vastaus]]="Kyllä"),1,0)</f>
        <v>0</v>
      </c>
      <c r="U33" s="121">
        <f>IF(AND(KysymyksetTaulukko2[[#This Row],[Maksimipisteet]]=1,NOT(ISBLANK(KysymyksetTaulukko2[[#This Row],[Vastaus]]))),1,0)</f>
        <v>0</v>
      </c>
      <c r="V33" s="123">
        <f>IF(OR(KysymyksetTaulukko2[[#This Row],[Luokka + toimiala]]="Ei kuulu",KysymyksetTaulukko2[[#This Row],[Vastaus]]="Ei koske",KysymyksetTaulukko2[[#This Row],[Luokka]]="Extra",KysymyksetTaulukko2[[#This Row],[Otsikkorivi]]="Kyllä"),0,1)</f>
        <v>0</v>
      </c>
    </row>
    <row r="34" spans="1:22" ht="28.5" x14ac:dyDescent="0.35">
      <c r="A34" s="3">
        <v>3.4</v>
      </c>
      <c r="B34" s="3" t="str">
        <f>IF(ISNUMBER(SEARCH("," &amp; LV!$B$10 &amp; ",", "," &amp; SUBSTITUTE(A34, " ", "")&amp; ",")),
  "Kuuluu",
  IF(AND(LV!$B$10&gt;=2,
      LV!$B$10&lt;=4,
      OR(ISNUMBER(SEARCH("," &amp;(LV!$B$10+1)&amp; ",", "," &amp; SUBSTITUTE(A34, " ", "")&amp; ",")),
        ISNUMBER(SEARCH("," &amp;(LV!$B$10+2)&amp; ",", "," &amp; SUBSTITUTE(A34, " ", "")&amp; ",")),
        ISNUMBER(SEARCH("," &amp;(LV!$B$10+3)&amp; ",", "," &amp; SUBSTITUTE(A34, " ", "")&amp; ",")),
        ISNUMBER(SEARCH("," &amp;(LV!$B$10+4)&amp; ",", "," &amp; SUBSTITUTE(A34, " ", "")&amp; ",")),
        ISNUMBER(SEARCH("," &amp;(LV!$B$10+5)&amp; ",", "," &amp; SUBSTITUTE(A34, " ", "")&amp; ",")))),
    "Extra",
    "Ei kuulu"))</f>
        <v>Ei kuulu</v>
      </c>
      <c r="C34" s="3" t="s">
        <v>44</v>
      </c>
      <c r="D34" s="3" t="str">
        <f>IF(ISNUMBER(SEARCH(LV!$I$5, Kustannustehokas_ja_organisoitu!C34)), "K", "E")</f>
        <v>E</v>
      </c>
      <c r="E34" s="3" t="str">
        <f>IF(ISNUMBER(SEARCH(LV!$I$6, Kustannustehokas_ja_organisoitu!$C34)), "K", "E")</f>
        <v>E</v>
      </c>
      <c r="F34" s="3" t="str">
        <f>IF(ISNUMBER(SEARCH(LV!$I$7, Kustannustehokas_ja_organisoitu!$C34)), "K", "E")</f>
        <v>E</v>
      </c>
      <c r="G34" s="3" t="str">
        <f>IF(ISNUMBER(SEARCH(LV!$I$8, Kustannustehokas_ja_organisoitu!$C34)), "K", "E")</f>
        <v>E</v>
      </c>
      <c r="H34" s="3" t="str">
        <f>IF(OR(KysymyksetTaulukko2[[#This Row],[Toimiala A]]="K",KysymyksetTaulukko2[[#This Row],[Toimiala B]]="K",KysymyksetTaulukko2[[#This Row],[Toimiala C]]="K",KysymyksetTaulukko2[[#This Row],[Toimiala D]]="K"),"Kuuluu","Ei kuulu")</f>
        <v>Ei kuulu</v>
      </c>
      <c r="I34" s="3" t="str">
        <f>IF(OR(KysymyksetTaulukko2[[#This Row],[Luokka]]="Ei kuulu",KysymyksetTaulukko2[[#This Row],[Toimiala-
kysymys]]="Ei kuulu"), "Ei kuulu", "Kuuluu")</f>
        <v>Ei kuulu</v>
      </c>
      <c r="J34" s="3" t="str">
        <f>IF(KysymyksetTaulukko2[[#This Row],[Luokka + toimiala]]="Kuuluu","a) Oman vesilaitoksen kysymykset","b) Muut kysymykset")</f>
        <v>b) Muut kysymykset</v>
      </c>
      <c r="K34" s="9" t="s">
        <v>80</v>
      </c>
      <c r="L34" s="9" t="s">
        <v>101</v>
      </c>
      <c r="M34" s="61" t="str">
        <f>LEFT(KysymyksetTaulukko2[[#This Row],[Alakategoria_]],2)</f>
        <v>7.</v>
      </c>
      <c r="N34" s="107"/>
      <c r="O34" s="70" t="s">
        <v>222</v>
      </c>
      <c r="P34" s="67" t="str">
        <f>IF(AND(KysymyksetTaulukko2[[#This Row],[Luokka]]="Extra",KysymyksetTaulukko2[[#This Row],[Luokka + toimiala]]="Kuuluu"),"Extra","")</f>
        <v/>
      </c>
      <c r="Q34" s="114"/>
      <c r="R34" s="64" t="s">
        <v>110</v>
      </c>
      <c r="S34" s="159"/>
      <c r="T34" s="123">
        <f>IF(AND(KysymyksetTaulukko2[[#This Row],[Luokka + toimiala]]="Kuuluu",KysymyksetTaulukko2[[#This Row],[Vastaus]]="Kyllä"),1,0)</f>
        <v>0</v>
      </c>
      <c r="U34" s="121">
        <f>IF(AND(KysymyksetTaulukko2[[#This Row],[Maksimipisteet]]=1,NOT(ISBLANK(KysymyksetTaulukko2[[#This Row],[Vastaus]]))),1,0)</f>
        <v>0</v>
      </c>
      <c r="V34" s="123">
        <f>IF(OR(KysymyksetTaulukko2[[#This Row],[Luokka + toimiala]]="Ei kuulu",KysymyksetTaulukko2[[#This Row],[Vastaus]]="Ei koske",KysymyksetTaulukko2[[#This Row],[Luokka]]="Extra",KysymyksetTaulukko2[[#This Row],[Otsikkorivi]]="Kyllä"),0,1)</f>
        <v>0</v>
      </c>
    </row>
    <row r="35" spans="1:22" ht="29" x14ac:dyDescent="0.35">
      <c r="A35" s="3">
        <v>4</v>
      </c>
      <c r="B35" s="3" t="str">
        <f>IF(ISNUMBER(SEARCH("," &amp; LV!$B$10 &amp; ",", "," &amp; SUBSTITUTE(A35, " ", "")&amp; ",")),
  "Kuuluu",
  IF(AND(LV!$B$10&gt;=2,
      LV!$B$10&lt;=4,
      OR(ISNUMBER(SEARCH("," &amp;(LV!$B$10+1)&amp; ",", "," &amp; SUBSTITUTE(A35, " ", "")&amp; ",")),
        ISNUMBER(SEARCH("," &amp;(LV!$B$10+2)&amp; ",", "," &amp; SUBSTITUTE(A35, " ", "")&amp; ",")),
        ISNUMBER(SEARCH("," &amp;(LV!$B$10+3)&amp; ",", "," &amp; SUBSTITUTE(A35, " ", "")&amp; ",")),
        ISNUMBER(SEARCH("," &amp;(LV!$B$10+4)&amp; ",", "," &amp; SUBSTITUTE(A35, " ", "")&amp; ",")),
        ISNUMBER(SEARCH("," &amp;(LV!$B$10+5)&amp; ",", "," &amp; SUBSTITUTE(A35, " ", "")&amp; ",")))),
    "Extra",
    "Ei kuulu"))</f>
        <v>Ei kuulu</v>
      </c>
      <c r="C35" s="3" t="s">
        <v>28</v>
      </c>
      <c r="D35" s="3" t="str">
        <f>IF(ISNUMBER(SEARCH(LV!$I$5, Kustannustehokas_ja_organisoitu!C35)), "K", "E")</f>
        <v>E</v>
      </c>
      <c r="E35" s="3" t="str">
        <f>IF(ISNUMBER(SEARCH(LV!$I$6, Kustannustehokas_ja_organisoitu!$C35)), "K", "E")</f>
        <v>E</v>
      </c>
      <c r="F35" s="3" t="str">
        <f>IF(ISNUMBER(SEARCH(LV!$I$7, Kustannustehokas_ja_organisoitu!$C35)), "K", "E")</f>
        <v>E</v>
      </c>
      <c r="G35" s="3" t="str">
        <f>IF(ISNUMBER(SEARCH(LV!$I$8, Kustannustehokas_ja_organisoitu!$C35)), "K", "E")</f>
        <v>E</v>
      </c>
      <c r="H35" s="3" t="str">
        <f>IF(OR(KysymyksetTaulukko2[[#This Row],[Toimiala A]]="K",KysymyksetTaulukko2[[#This Row],[Toimiala B]]="K",KysymyksetTaulukko2[[#This Row],[Toimiala C]]="K",KysymyksetTaulukko2[[#This Row],[Toimiala D]]="K"),"Kuuluu","Ei kuulu")</f>
        <v>Ei kuulu</v>
      </c>
      <c r="I35" s="3" t="str">
        <f>IF(OR(KysymyksetTaulukko2[[#This Row],[Luokka]]="Ei kuulu",KysymyksetTaulukko2[[#This Row],[Toimiala-
kysymys]]="Ei kuulu"), "Ei kuulu", "Kuuluu")</f>
        <v>Ei kuulu</v>
      </c>
      <c r="J35" s="3" t="str">
        <f>IF(KysymyksetTaulukko2[[#This Row],[Luokka + toimiala]]="Kuuluu","a) Oman vesilaitoksen kysymykset","b) Muut kysymykset")</f>
        <v>b) Muut kysymykset</v>
      </c>
      <c r="K35" s="9" t="s">
        <v>80</v>
      </c>
      <c r="L35" s="9" t="s">
        <v>101</v>
      </c>
      <c r="M35" s="61" t="str">
        <f>LEFT(KysymyksetTaulukko2[[#This Row],[Alakategoria_]],2)</f>
        <v>7.</v>
      </c>
      <c r="N35" s="107"/>
      <c r="O35" s="70" t="s">
        <v>222</v>
      </c>
      <c r="P35" s="67" t="str">
        <f>IF(AND(KysymyksetTaulukko2[[#This Row],[Luokka]]="Extra",KysymyksetTaulukko2[[#This Row],[Luokka + toimiala]]="Kuuluu"),"Extra","")</f>
        <v/>
      </c>
      <c r="Q35" s="114"/>
      <c r="R35" s="64" t="s">
        <v>111</v>
      </c>
      <c r="S35" s="159"/>
      <c r="T35" s="123">
        <f>IF(AND(KysymyksetTaulukko2[[#This Row],[Luokka + toimiala]]="Kuuluu",KysymyksetTaulukko2[[#This Row],[Vastaus]]="Kyllä"),1,0)</f>
        <v>0</v>
      </c>
      <c r="U35" s="121">
        <f>IF(AND(KysymyksetTaulukko2[[#This Row],[Maksimipisteet]]=1,NOT(ISBLANK(KysymyksetTaulukko2[[#This Row],[Vastaus]]))),1,0)</f>
        <v>0</v>
      </c>
      <c r="V35" s="123">
        <f>IF(OR(KysymyksetTaulukko2[[#This Row],[Luokka + toimiala]]="Ei kuulu",KysymyksetTaulukko2[[#This Row],[Vastaus]]="Ei koske",KysymyksetTaulukko2[[#This Row],[Luokka]]="Extra",KysymyksetTaulukko2[[#This Row],[Otsikkorivi]]="Kyllä"),0,1)</f>
        <v>0</v>
      </c>
    </row>
    <row r="36" spans="1:22" ht="28.5" x14ac:dyDescent="0.35">
      <c r="A36" s="3">
        <v>5</v>
      </c>
      <c r="B36" s="3" t="str">
        <f>IF(ISNUMBER(SEARCH("," &amp; LV!$B$10 &amp; ",", "," &amp; SUBSTITUTE(A36, " ", "")&amp; ",")),
  "Kuuluu",
  IF(AND(LV!$B$10&gt;=2,
      LV!$B$10&lt;=4,
      OR(ISNUMBER(SEARCH("," &amp;(LV!$B$10+1)&amp; ",", "," &amp; SUBSTITUTE(A36, " ", "")&amp; ",")),
        ISNUMBER(SEARCH("," &amp;(LV!$B$10+2)&amp; ",", "," &amp; SUBSTITUTE(A36, " ", "")&amp; ",")),
        ISNUMBER(SEARCH("," &amp;(LV!$B$10+3)&amp; ",", "," &amp; SUBSTITUTE(A36, " ", "")&amp; ",")),
        ISNUMBER(SEARCH("," &amp;(LV!$B$10+4)&amp; ",", "," &amp; SUBSTITUTE(A36, " ", "")&amp; ",")),
        ISNUMBER(SEARCH("," &amp;(LV!$B$10+5)&amp; ",", "," &amp; SUBSTITUTE(A36, " ", "")&amp; ",")))),
    "Extra",
    "Ei kuulu"))</f>
        <v>Ei kuulu</v>
      </c>
      <c r="C36" s="3" t="s">
        <v>28</v>
      </c>
      <c r="D36" s="3" t="str">
        <f>IF(ISNUMBER(SEARCH(LV!$I$5, Kustannustehokas_ja_organisoitu!C36)), "K", "E")</f>
        <v>E</v>
      </c>
      <c r="E36" s="3" t="str">
        <f>IF(ISNUMBER(SEARCH(LV!$I$6, Kustannustehokas_ja_organisoitu!$C36)), "K", "E")</f>
        <v>E</v>
      </c>
      <c r="F36" s="3" t="str">
        <f>IF(ISNUMBER(SEARCH(LV!$I$7, Kustannustehokas_ja_organisoitu!$C36)), "K", "E")</f>
        <v>E</v>
      </c>
      <c r="G36" s="3" t="str">
        <f>IF(ISNUMBER(SEARCH(LV!$I$8, Kustannustehokas_ja_organisoitu!$C36)), "K", "E")</f>
        <v>E</v>
      </c>
      <c r="H36" s="3" t="str">
        <f>IF(OR(KysymyksetTaulukko2[[#This Row],[Toimiala A]]="K",KysymyksetTaulukko2[[#This Row],[Toimiala B]]="K",KysymyksetTaulukko2[[#This Row],[Toimiala C]]="K",KysymyksetTaulukko2[[#This Row],[Toimiala D]]="K"),"Kuuluu","Ei kuulu")</f>
        <v>Ei kuulu</v>
      </c>
      <c r="I36" s="3" t="str">
        <f>IF(OR(KysymyksetTaulukko2[[#This Row],[Luokka]]="Ei kuulu",KysymyksetTaulukko2[[#This Row],[Toimiala-
kysymys]]="Ei kuulu"), "Ei kuulu", "Kuuluu")</f>
        <v>Ei kuulu</v>
      </c>
      <c r="J36" s="3" t="str">
        <f>IF(KysymyksetTaulukko2[[#This Row],[Luokka + toimiala]]="Kuuluu","a) Oman vesilaitoksen kysymykset","b) Muut kysymykset")</f>
        <v>b) Muut kysymykset</v>
      </c>
      <c r="K36" s="9" t="s">
        <v>80</v>
      </c>
      <c r="L36" s="9" t="s">
        <v>101</v>
      </c>
      <c r="M36" s="61" t="str">
        <f>LEFT(KysymyksetTaulukko2[[#This Row],[Alakategoria_]],2)</f>
        <v>7.</v>
      </c>
      <c r="N36" s="107"/>
      <c r="O36" s="70" t="s">
        <v>222</v>
      </c>
      <c r="P36" s="67" t="str">
        <f>IF(AND(KysymyksetTaulukko2[[#This Row],[Luokka]]="Extra",KysymyksetTaulukko2[[#This Row],[Luokka + toimiala]]="Kuuluu"),"Extra","")</f>
        <v/>
      </c>
      <c r="Q36" s="114"/>
      <c r="R36" s="64" t="s">
        <v>112</v>
      </c>
      <c r="S36" s="159"/>
      <c r="T36" s="123">
        <f>IF(AND(KysymyksetTaulukko2[[#This Row],[Luokka + toimiala]]="Kuuluu",KysymyksetTaulukko2[[#This Row],[Vastaus]]="Kyllä"),1,0)</f>
        <v>0</v>
      </c>
      <c r="U36" s="121">
        <f>IF(AND(KysymyksetTaulukko2[[#This Row],[Maksimipisteet]]=1,NOT(ISBLANK(KysymyksetTaulukko2[[#This Row],[Vastaus]]))),1,0)</f>
        <v>0</v>
      </c>
      <c r="V36" s="123">
        <f>IF(OR(KysymyksetTaulukko2[[#This Row],[Luokka + toimiala]]="Ei kuulu",KysymyksetTaulukko2[[#This Row],[Vastaus]]="Ei koske",KysymyksetTaulukko2[[#This Row],[Luokka]]="Extra",KysymyksetTaulukko2[[#This Row],[Otsikkorivi]]="Kyllä"),0,1)</f>
        <v>0</v>
      </c>
    </row>
    <row r="37" spans="1:22" ht="28.5" x14ac:dyDescent="0.35">
      <c r="A37" s="3">
        <v>5</v>
      </c>
      <c r="B37" s="3" t="str">
        <f>IF(ISNUMBER(SEARCH("," &amp; LV!$B$10 &amp; ",", "," &amp; SUBSTITUTE(A37, " ", "")&amp; ",")),
  "Kuuluu",
  IF(AND(LV!$B$10&gt;=2,
      LV!$B$10&lt;=4,
      OR(ISNUMBER(SEARCH("," &amp;(LV!$B$10+1)&amp; ",", "," &amp; SUBSTITUTE(A37, " ", "")&amp; ",")),
        ISNUMBER(SEARCH("," &amp;(LV!$B$10+2)&amp; ",", "," &amp; SUBSTITUTE(A37, " ", "")&amp; ",")),
        ISNUMBER(SEARCH("," &amp;(LV!$B$10+3)&amp; ",", "," &amp; SUBSTITUTE(A37, " ", "")&amp; ",")),
        ISNUMBER(SEARCH("," &amp;(LV!$B$10+4)&amp; ",", "," &amp; SUBSTITUTE(A37, " ", "")&amp; ",")),
        ISNUMBER(SEARCH("," &amp;(LV!$B$10+5)&amp; ",", "," &amp; SUBSTITUTE(A37, " ", "")&amp; ",")))),
    "Extra",
    "Ei kuulu"))</f>
        <v>Ei kuulu</v>
      </c>
      <c r="C37" s="3" t="s">
        <v>28</v>
      </c>
      <c r="D37" s="3" t="str">
        <f>IF(ISNUMBER(SEARCH(LV!$I$5, Kustannustehokas_ja_organisoitu!C37)), "K", "E")</f>
        <v>E</v>
      </c>
      <c r="E37" s="3" t="str">
        <f>IF(ISNUMBER(SEARCH(LV!$I$6, Kustannustehokas_ja_organisoitu!$C37)), "K", "E")</f>
        <v>E</v>
      </c>
      <c r="F37" s="3" t="str">
        <f>IF(ISNUMBER(SEARCH(LV!$I$7, Kustannustehokas_ja_organisoitu!$C37)), "K", "E")</f>
        <v>E</v>
      </c>
      <c r="G37" s="3" t="str">
        <f>IF(ISNUMBER(SEARCH(LV!$I$8, Kustannustehokas_ja_organisoitu!$C37)), "K", "E")</f>
        <v>E</v>
      </c>
      <c r="H37" s="3" t="str">
        <f>IF(OR(KysymyksetTaulukko2[[#This Row],[Toimiala A]]="K",KysymyksetTaulukko2[[#This Row],[Toimiala B]]="K",KysymyksetTaulukko2[[#This Row],[Toimiala C]]="K",KysymyksetTaulukko2[[#This Row],[Toimiala D]]="K"),"Kuuluu","Ei kuulu")</f>
        <v>Ei kuulu</v>
      </c>
      <c r="I37" s="3" t="str">
        <f>IF(OR(KysymyksetTaulukko2[[#This Row],[Luokka]]="Ei kuulu",KysymyksetTaulukko2[[#This Row],[Toimiala-
kysymys]]="Ei kuulu"), "Ei kuulu", "Kuuluu")</f>
        <v>Ei kuulu</v>
      </c>
      <c r="J37" s="3" t="str">
        <f>IF(KysymyksetTaulukko2[[#This Row],[Luokka + toimiala]]="Kuuluu","a) Oman vesilaitoksen kysymykset","b) Muut kysymykset")</f>
        <v>b) Muut kysymykset</v>
      </c>
      <c r="K37" s="9" t="s">
        <v>80</v>
      </c>
      <c r="L37" s="9" t="s">
        <v>101</v>
      </c>
      <c r="M37" s="61" t="str">
        <f>LEFT(KysymyksetTaulukko2[[#This Row],[Alakategoria_]],2)</f>
        <v>7.</v>
      </c>
      <c r="N37" s="107"/>
      <c r="O37" s="70" t="s">
        <v>222</v>
      </c>
      <c r="P37" s="67" t="str">
        <f>IF(AND(KysymyksetTaulukko2[[#This Row],[Luokka]]="Extra",KysymyksetTaulukko2[[#This Row],[Luokka + toimiala]]="Kuuluu"),"Extra","")</f>
        <v/>
      </c>
      <c r="Q37" s="114"/>
      <c r="R37" s="64" t="s">
        <v>113</v>
      </c>
      <c r="S37" s="159"/>
      <c r="T37" s="123">
        <f>IF(AND(KysymyksetTaulukko2[[#This Row],[Luokka + toimiala]]="Kuuluu",KysymyksetTaulukko2[[#This Row],[Vastaus]]="Kyllä"),1,0)</f>
        <v>0</v>
      </c>
      <c r="U37" s="121">
        <f>IF(AND(KysymyksetTaulukko2[[#This Row],[Maksimipisteet]]=1,NOT(ISBLANK(KysymyksetTaulukko2[[#This Row],[Vastaus]]))),1,0)</f>
        <v>0</v>
      </c>
      <c r="V37" s="123">
        <f>IF(OR(KysymyksetTaulukko2[[#This Row],[Luokka + toimiala]]="Ei kuulu",KysymyksetTaulukko2[[#This Row],[Vastaus]]="Ei koske",KysymyksetTaulukko2[[#This Row],[Luokka]]="Extra",KysymyksetTaulukko2[[#This Row],[Otsikkorivi]]="Kyllä"),0,1)</f>
        <v>0</v>
      </c>
    </row>
    <row r="38" spans="1:22" ht="28.5" x14ac:dyDescent="0.35">
      <c r="A38" s="3" t="s">
        <v>6</v>
      </c>
      <c r="B38" s="3" t="str">
        <f>IF(ISNUMBER(SEARCH("," &amp; LV!$B$10 &amp; ",", "," &amp; SUBSTITUTE(A38, " ", "")&amp; ",")),
  "Kuuluu",
  IF(AND(LV!$B$10&gt;=2,
      LV!$B$10&lt;=4,
      OR(ISNUMBER(SEARCH("," &amp;(LV!$B$10+1)&amp; ",", "," &amp; SUBSTITUTE(A38, " ", "")&amp; ",")),
        ISNUMBER(SEARCH("," &amp;(LV!$B$10+2)&amp; ",", "," &amp; SUBSTITUTE(A38, " ", "")&amp; ",")),
        ISNUMBER(SEARCH("," &amp;(LV!$B$10+3)&amp; ",", "," &amp; SUBSTITUTE(A38, " ", "")&amp; ",")),
        ISNUMBER(SEARCH("," &amp;(LV!$B$10+4)&amp; ",", "," &amp; SUBSTITUTE(A38, " ", "")&amp; ",")),
        ISNUMBER(SEARCH("," &amp;(LV!$B$10+5)&amp; ",", "," &amp; SUBSTITUTE(A38, " ", "")&amp; ",")))),
    "Extra",
    "Ei kuulu"))</f>
        <v>Ei kuulu</v>
      </c>
      <c r="C38" s="3" t="s">
        <v>28</v>
      </c>
      <c r="D38" s="3" t="str">
        <f>IF(ISNUMBER(SEARCH(LV!$I$5, Kustannustehokas_ja_organisoitu!C38)), "K", "E")</f>
        <v>E</v>
      </c>
      <c r="E38" s="3" t="str">
        <f>IF(ISNUMBER(SEARCH(LV!$I$6, Kustannustehokas_ja_organisoitu!$C38)), "K", "E")</f>
        <v>E</v>
      </c>
      <c r="F38" s="3" t="str">
        <f>IF(ISNUMBER(SEARCH(LV!$I$7, Kustannustehokas_ja_organisoitu!$C38)), "K", "E")</f>
        <v>E</v>
      </c>
      <c r="G38" s="3" t="str">
        <f>IF(ISNUMBER(SEARCH(LV!$I$8, Kustannustehokas_ja_organisoitu!$C38)), "K", "E")</f>
        <v>E</v>
      </c>
      <c r="H38" s="3" t="str">
        <f>IF(OR(KysymyksetTaulukko2[[#This Row],[Toimiala A]]="K",KysymyksetTaulukko2[[#This Row],[Toimiala B]]="K",KysymyksetTaulukko2[[#This Row],[Toimiala C]]="K",KysymyksetTaulukko2[[#This Row],[Toimiala D]]="K"),"Kuuluu","Ei kuulu")</f>
        <v>Ei kuulu</v>
      </c>
      <c r="I38" s="3" t="str">
        <f>IF(OR(KysymyksetTaulukko2[[#This Row],[Luokka]]="Ei kuulu",KysymyksetTaulukko2[[#This Row],[Toimiala-
kysymys]]="Ei kuulu"), "Ei kuulu", "Kuuluu")</f>
        <v>Ei kuulu</v>
      </c>
      <c r="J38" s="3" t="str">
        <f>IF(KysymyksetTaulukko2[[#This Row],[Luokka + toimiala]]="Kuuluu","a) Oman vesilaitoksen kysymykset","b) Muut kysymykset")</f>
        <v>b) Muut kysymykset</v>
      </c>
      <c r="K38" s="9" t="s">
        <v>80</v>
      </c>
      <c r="L38" s="9" t="s">
        <v>241</v>
      </c>
      <c r="M38" s="61" t="str">
        <f>LEFT(KysymyksetTaulukko2[[#This Row],[Alakategoria_]],2)</f>
        <v>_O</v>
      </c>
      <c r="N38" s="107"/>
      <c r="O38" s="70"/>
      <c r="P38" s="67" t="str">
        <f>IF(AND(KysymyksetTaulukko2[[#This Row],[Luokka]]="Extra",KysymyksetTaulukko2[[#This Row],[Luokka + toimiala]]="Kuuluu"),"Extra","")</f>
        <v/>
      </c>
      <c r="Q38" s="114" t="s">
        <v>177</v>
      </c>
      <c r="R38" s="128" t="s">
        <v>114</v>
      </c>
      <c r="S38" s="158"/>
      <c r="T38" s="123">
        <f>IF(AND(KysymyksetTaulukko2[[#This Row],[Luokka + toimiala]]="Kuuluu",KysymyksetTaulukko2[[#This Row],[Vastaus]]="Kyllä"),1,0)</f>
        <v>0</v>
      </c>
      <c r="U38" s="121">
        <f>IF(AND(KysymyksetTaulukko2[[#This Row],[Maksimipisteet]]=1,NOT(ISBLANK(KysymyksetTaulukko2[[#This Row],[Vastaus]]))),1,0)</f>
        <v>0</v>
      </c>
      <c r="V38" s="123">
        <f>IF(OR(KysymyksetTaulukko2[[#This Row],[Luokka + toimiala]]="Ei kuulu",KysymyksetTaulukko2[[#This Row],[Vastaus]]="Ei koske",KysymyksetTaulukko2[[#This Row],[Luokka]]="Extra",KysymyksetTaulukko2[[#This Row],[Otsikkorivi]]="Kyllä"),0,1)</f>
        <v>0</v>
      </c>
    </row>
    <row r="39" spans="1:22" ht="29" x14ac:dyDescent="0.35">
      <c r="A39" s="3" t="s">
        <v>12</v>
      </c>
      <c r="B39" s="3" t="str">
        <f>IF(ISNUMBER(SEARCH("," &amp; LV!$B$10 &amp; ",", "," &amp; SUBSTITUTE(A39, " ", "")&amp; ",")),
  "Kuuluu",
  IF(AND(LV!$B$10&gt;=2,
      LV!$B$10&lt;=4,
      OR(ISNUMBER(SEARCH("," &amp;(LV!$B$10+1)&amp; ",", "," &amp; SUBSTITUTE(A39, " ", "")&amp; ",")),
        ISNUMBER(SEARCH("," &amp;(LV!$B$10+2)&amp; ",", "," &amp; SUBSTITUTE(A39, " ", "")&amp; ",")),
        ISNUMBER(SEARCH("," &amp;(LV!$B$10+3)&amp; ",", "," &amp; SUBSTITUTE(A39, " ", "")&amp; ",")),
        ISNUMBER(SEARCH("," &amp;(LV!$B$10+4)&amp; ",", "," &amp; SUBSTITUTE(A39, " ", "")&amp; ",")),
        ISNUMBER(SEARCH("," &amp;(LV!$B$10+5)&amp; ",", "," &amp; SUBSTITUTE(A39, " ", "")&amp; ",")))),
    "Extra",
    "Ei kuulu"))</f>
        <v>Ei kuulu</v>
      </c>
      <c r="C39" s="3" t="s">
        <v>28</v>
      </c>
      <c r="D39" s="3" t="str">
        <f>IF(ISNUMBER(SEARCH(LV!$I$5, Kustannustehokas_ja_organisoitu!C39)), "K", "E")</f>
        <v>E</v>
      </c>
      <c r="E39" s="3" t="str">
        <f>IF(ISNUMBER(SEARCH(LV!$I$6, Kustannustehokas_ja_organisoitu!$C39)), "K", "E")</f>
        <v>E</v>
      </c>
      <c r="F39" s="3" t="str">
        <f>IF(ISNUMBER(SEARCH(LV!$I$7, Kustannustehokas_ja_organisoitu!$C39)), "K", "E")</f>
        <v>E</v>
      </c>
      <c r="G39" s="3" t="str">
        <f>IF(ISNUMBER(SEARCH(LV!$I$8, Kustannustehokas_ja_organisoitu!$C39)), "K", "E")</f>
        <v>E</v>
      </c>
      <c r="H39" s="3" t="str">
        <f>IF(OR(KysymyksetTaulukko2[[#This Row],[Toimiala A]]="K",KysymyksetTaulukko2[[#This Row],[Toimiala B]]="K",KysymyksetTaulukko2[[#This Row],[Toimiala C]]="K",KysymyksetTaulukko2[[#This Row],[Toimiala D]]="K"),"Kuuluu","Ei kuulu")</f>
        <v>Ei kuulu</v>
      </c>
      <c r="I39" s="3" t="str">
        <f>IF(OR(KysymyksetTaulukko2[[#This Row],[Luokka]]="Ei kuulu",KysymyksetTaulukko2[[#This Row],[Toimiala-
kysymys]]="Ei kuulu"), "Ei kuulu", "Kuuluu")</f>
        <v>Ei kuulu</v>
      </c>
      <c r="J39" s="3" t="str">
        <f>IF(KysymyksetTaulukko2[[#This Row],[Luokka + toimiala]]="Kuuluu","a) Oman vesilaitoksen kysymykset","b) Muut kysymykset")</f>
        <v>b) Muut kysymykset</v>
      </c>
      <c r="K39" s="9" t="s">
        <v>80</v>
      </c>
      <c r="L39" s="9" t="s">
        <v>114</v>
      </c>
      <c r="M39" s="61" t="str">
        <f>LEFT(KysymyksetTaulukko2[[#This Row],[Alakategoria_]],2)</f>
        <v>8.</v>
      </c>
      <c r="N39" s="107"/>
      <c r="O39" s="70" t="s">
        <v>222</v>
      </c>
      <c r="P39" s="67" t="str">
        <f>IF(AND(KysymyksetTaulukko2[[#This Row],[Luokka]]="Extra",KysymyksetTaulukko2[[#This Row],[Luokka + toimiala]]="Kuuluu"),"Extra","")</f>
        <v/>
      </c>
      <c r="Q39" s="114"/>
      <c r="R39" s="64" t="s">
        <v>115</v>
      </c>
      <c r="S39" s="159"/>
      <c r="T39" s="123">
        <f>IF(AND(KysymyksetTaulukko2[[#This Row],[Luokka + toimiala]]="Kuuluu",KysymyksetTaulukko2[[#This Row],[Vastaus]]="Kyllä"),1,0)</f>
        <v>0</v>
      </c>
      <c r="U39" s="121">
        <f>IF(AND(KysymyksetTaulukko2[[#This Row],[Maksimipisteet]]=1,NOT(ISBLANK(KysymyksetTaulukko2[[#This Row],[Vastaus]]))),1,0)</f>
        <v>0</v>
      </c>
      <c r="V39" s="123">
        <f>IF(OR(KysymyksetTaulukko2[[#This Row],[Luokka + toimiala]]="Ei kuulu",KysymyksetTaulukko2[[#This Row],[Vastaus]]="Ei koske",KysymyksetTaulukko2[[#This Row],[Luokka]]="Extra",KysymyksetTaulukko2[[#This Row],[Otsikkorivi]]="Kyllä"),0,1)</f>
        <v>0</v>
      </c>
    </row>
    <row r="40" spans="1:22" ht="28.5" x14ac:dyDescent="0.35">
      <c r="A40" s="3" t="s">
        <v>12</v>
      </c>
      <c r="B40" s="3" t="str">
        <f>IF(ISNUMBER(SEARCH("," &amp; LV!$B$10 &amp; ",", "," &amp; SUBSTITUTE(A40, " ", "")&amp; ",")),
  "Kuuluu",
  IF(AND(LV!$B$10&gt;=2,
      LV!$B$10&lt;=4,
      OR(ISNUMBER(SEARCH("," &amp;(LV!$B$10+1)&amp; ",", "," &amp; SUBSTITUTE(A40, " ", "")&amp; ",")),
        ISNUMBER(SEARCH("," &amp;(LV!$B$10+2)&amp; ",", "," &amp; SUBSTITUTE(A40, " ", "")&amp; ",")),
        ISNUMBER(SEARCH("," &amp;(LV!$B$10+3)&amp; ",", "," &amp; SUBSTITUTE(A40, " ", "")&amp; ",")),
        ISNUMBER(SEARCH("," &amp;(LV!$B$10+4)&amp; ",", "," &amp; SUBSTITUTE(A40, " ", "")&amp; ",")),
        ISNUMBER(SEARCH("," &amp;(LV!$B$10+5)&amp; ",", "," &amp; SUBSTITUTE(A40, " ", "")&amp; ",")))),
    "Extra",
    "Ei kuulu"))</f>
        <v>Ei kuulu</v>
      </c>
      <c r="C40" s="3" t="s">
        <v>28</v>
      </c>
      <c r="D40" s="3" t="str">
        <f>IF(ISNUMBER(SEARCH(LV!$I$5, Kustannustehokas_ja_organisoitu!C40)), "K", "E")</f>
        <v>E</v>
      </c>
      <c r="E40" s="3" t="str">
        <f>IF(ISNUMBER(SEARCH(LV!$I$6, Kustannustehokas_ja_organisoitu!$C40)), "K", "E")</f>
        <v>E</v>
      </c>
      <c r="F40" s="3" t="str">
        <f>IF(ISNUMBER(SEARCH(LV!$I$7, Kustannustehokas_ja_organisoitu!$C40)), "K", "E")</f>
        <v>E</v>
      </c>
      <c r="G40" s="3" t="str">
        <f>IF(ISNUMBER(SEARCH(LV!$I$8, Kustannustehokas_ja_organisoitu!$C40)), "K", "E")</f>
        <v>E</v>
      </c>
      <c r="H40" s="3" t="str">
        <f>IF(OR(KysymyksetTaulukko2[[#This Row],[Toimiala A]]="K",KysymyksetTaulukko2[[#This Row],[Toimiala B]]="K",KysymyksetTaulukko2[[#This Row],[Toimiala C]]="K",KysymyksetTaulukko2[[#This Row],[Toimiala D]]="K"),"Kuuluu","Ei kuulu")</f>
        <v>Ei kuulu</v>
      </c>
      <c r="I40" s="3" t="str">
        <f>IF(OR(KysymyksetTaulukko2[[#This Row],[Luokka]]="Ei kuulu",KysymyksetTaulukko2[[#This Row],[Toimiala-
kysymys]]="Ei kuulu"), "Ei kuulu", "Kuuluu")</f>
        <v>Ei kuulu</v>
      </c>
      <c r="J40" s="3" t="str">
        <f>IF(KysymyksetTaulukko2[[#This Row],[Luokka + toimiala]]="Kuuluu","a) Oman vesilaitoksen kysymykset","b) Muut kysymykset")</f>
        <v>b) Muut kysymykset</v>
      </c>
      <c r="K40" s="9" t="s">
        <v>80</v>
      </c>
      <c r="L40" s="9" t="s">
        <v>114</v>
      </c>
      <c r="M40" s="61" t="str">
        <f>LEFT(KysymyksetTaulukko2[[#This Row],[Alakategoria_]],2)</f>
        <v>8.</v>
      </c>
      <c r="N40" s="107"/>
      <c r="O40" s="70" t="s">
        <v>222</v>
      </c>
      <c r="P40" s="67" t="str">
        <f>IF(AND(KysymyksetTaulukko2[[#This Row],[Luokka]]="Extra",KysymyksetTaulukko2[[#This Row],[Luokka + toimiala]]="Kuuluu"),"Extra","")</f>
        <v/>
      </c>
      <c r="Q40" s="114"/>
      <c r="R40" s="64" t="s">
        <v>116</v>
      </c>
      <c r="S40" s="159"/>
      <c r="T40" s="123">
        <f>IF(AND(KysymyksetTaulukko2[[#This Row],[Luokka + toimiala]]="Kuuluu",KysymyksetTaulukko2[[#This Row],[Vastaus]]="Kyllä"),1,0)</f>
        <v>0</v>
      </c>
      <c r="U40" s="121">
        <f>IF(AND(KysymyksetTaulukko2[[#This Row],[Maksimipisteet]]=1,NOT(ISBLANK(KysymyksetTaulukko2[[#This Row],[Vastaus]]))),1,0)</f>
        <v>0</v>
      </c>
      <c r="V40" s="123">
        <f>IF(OR(KysymyksetTaulukko2[[#This Row],[Luokka + toimiala]]="Ei kuulu",KysymyksetTaulukko2[[#This Row],[Vastaus]]="Ei koske",KysymyksetTaulukko2[[#This Row],[Luokka]]="Extra",KysymyksetTaulukko2[[#This Row],[Otsikkorivi]]="Kyllä"),0,1)</f>
        <v>0</v>
      </c>
    </row>
    <row r="41" spans="1:22" ht="29" x14ac:dyDescent="0.35">
      <c r="A41" s="3" t="s">
        <v>12</v>
      </c>
      <c r="B41" s="3" t="str">
        <f>IF(ISNUMBER(SEARCH("," &amp; LV!$B$10 &amp; ",", "," &amp; SUBSTITUTE(A41, " ", "")&amp; ",")),
  "Kuuluu",
  IF(AND(LV!$B$10&gt;=2,
      LV!$B$10&lt;=4,
      OR(ISNUMBER(SEARCH("," &amp;(LV!$B$10+1)&amp; ",", "," &amp; SUBSTITUTE(A41, " ", "")&amp; ",")),
        ISNUMBER(SEARCH("," &amp;(LV!$B$10+2)&amp; ",", "," &amp; SUBSTITUTE(A41, " ", "")&amp; ",")),
        ISNUMBER(SEARCH("," &amp;(LV!$B$10+3)&amp; ",", "," &amp; SUBSTITUTE(A41, " ", "")&amp; ",")),
        ISNUMBER(SEARCH("," &amp;(LV!$B$10+4)&amp; ",", "," &amp; SUBSTITUTE(A41, " ", "")&amp; ",")),
        ISNUMBER(SEARCH("," &amp;(LV!$B$10+5)&amp; ",", "," &amp; SUBSTITUTE(A41, " ", "")&amp; ",")))),
    "Extra",
    "Ei kuulu"))</f>
        <v>Ei kuulu</v>
      </c>
      <c r="C41" s="3" t="s">
        <v>28</v>
      </c>
      <c r="D41" s="3" t="str">
        <f>IF(ISNUMBER(SEARCH(LV!$I$5, Kustannustehokas_ja_organisoitu!C41)), "K", "E")</f>
        <v>E</v>
      </c>
      <c r="E41" s="3" t="str">
        <f>IF(ISNUMBER(SEARCH(LV!$I$6, Kustannustehokas_ja_organisoitu!$C41)), "K", "E")</f>
        <v>E</v>
      </c>
      <c r="F41" s="3" t="str">
        <f>IF(ISNUMBER(SEARCH(LV!$I$7, Kustannustehokas_ja_organisoitu!$C41)), "K", "E")</f>
        <v>E</v>
      </c>
      <c r="G41" s="3" t="str">
        <f>IF(ISNUMBER(SEARCH(LV!$I$8, Kustannustehokas_ja_organisoitu!$C41)), "K", "E")</f>
        <v>E</v>
      </c>
      <c r="H41" s="3" t="str">
        <f>IF(OR(KysymyksetTaulukko2[[#This Row],[Toimiala A]]="K",KysymyksetTaulukko2[[#This Row],[Toimiala B]]="K",KysymyksetTaulukko2[[#This Row],[Toimiala C]]="K",KysymyksetTaulukko2[[#This Row],[Toimiala D]]="K"),"Kuuluu","Ei kuulu")</f>
        <v>Ei kuulu</v>
      </c>
      <c r="I41" s="3" t="str">
        <f>IF(OR(KysymyksetTaulukko2[[#This Row],[Luokka]]="Ei kuulu",KysymyksetTaulukko2[[#This Row],[Toimiala-
kysymys]]="Ei kuulu"), "Ei kuulu", "Kuuluu")</f>
        <v>Ei kuulu</v>
      </c>
      <c r="J41" s="3" t="str">
        <f>IF(KysymyksetTaulukko2[[#This Row],[Luokka + toimiala]]="Kuuluu","a) Oman vesilaitoksen kysymykset","b) Muut kysymykset")</f>
        <v>b) Muut kysymykset</v>
      </c>
      <c r="K41" s="9" t="s">
        <v>80</v>
      </c>
      <c r="L41" s="9" t="s">
        <v>114</v>
      </c>
      <c r="M41" s="61" t="str">
        <f>LEFT(KysymyksetTaulukko2[[#This Row],[Alakategoria_]],2)</f>
        <v>8.</v>
      </c>
      <c r="N41" s="107"/>
      <c r="O41" s="70" t="s">
        <v>222</v>
      </c>
      <c r="P41" s="67" t="str">
        <f>IF(AND(KysymyksetTaulukko2[[#This Row],[Luokka]]="Extra",KysymyksetTaulukko2[[#This Row],[Luokka + toimiala]]="Kuuluu"),"Extra","")</f>
        <v/>
      </c>
      <c r="Q41" s="114"/>
      <c r="R41" s="64" t="s">
        <v>117</v>
      </c>
      <c r="S41" s="159"/>
      <c r="T41" s="123">
        <f>IF(AND(KysymyksetTaulukko2[[#This Row],[Luokka + toimiala]]="Kuuluu",KysymyksetTaulukko2[[#This Row],[Vastaus]]="Kyllä"),1,0)</f>
        <v>0</v>
      </c>
      <c r="U41" s="121">
        <f>IF(AND(KysymyksetTaulukko2[[#This Row],[Maksimipisteet]]=1,NOT(ISBLANK(KysymyksetTaulukko2[[#This Row],[Vastaus]]))),1,0)</f>
        <v>0</v>
      </c>
      <c r="V41" s="123">
        <f>IF(OR(KysymyksetTaulukko2[[#This Row],[Luokka + toimiala]]="Ei kuulu",KysymyksetTaulukko2[[#This Row],[Vastaus]]="Ei koske",KysymyksetTaulukko2[[#This Row],[Luokka]]="Extra",KysymyksetTaulukko2[[#This Row],[Otsikkorivi]]="Kyllä"),0,1)</f>
        <v>0</v>
      </c>
    </row>
    <row r="42" spans="1:22" ht="29" x14ac:dyDescent="0.35">
      <c r="A42" s="3" t="s">
        <v>19</v>
      </c>
      <c r="B42" s="3" t="str">
        <f>IF(ISNUMBER(SEARCH("," &amp; LV!$B$10 &amp; ",", "," &amp; SUBSTITUTE(A42, " ", "")&amp; ",")),
  "Kuuluu",
  IF(AND(LV!$B$10&gt;=2,
      LV!$B$10&lt;=4,
      OR(ISNUMBER(SEARCH("," &amp;(LV!$B$10+1)&amp; ",", "," &amp; SUBSTITUTE(A42, " ", "")&amp; ",")),
        ISNUMBER(SEARCH("," &amp;(LV!$B$10+2)&amp; ",", "," &amp; SUBSTITUTE(A42, " ", "")&amp; ",")),
        ISNUMBER(SEARCH("," &amp;(LV!$B$10+3)&amp; ",", "," &amp; SUBSTITUTE(A42, " ", "")&amp; ",")),
        ISNUMBER(SEARCH("," &amp;(LV!$B$10+4)&amp; ",", "," &amp; SUBSTITUTE(A42, " ", "")&amp; ",")),
        ISNUMBER(SEARCH("," &amp;(LV!$B$10+5)&amp; ",", "," &amp; SUBSTITUTE(A42, " ", "")&amp; ",")))),
    "Extra",
    "Ei kuulu"))</f>
        <v>Ei kuulu</v>
      </c>
      <c r="C42" s="3" t="s">
        <v>28</v>
      </c>
      <c r="D42" s="3" t="str">
        <f>IF(ISNUMBER(SEARCH(LV!$I$5, Kustannustehokas_ja_organisoitu!C42)), "K", "E")</f>
        <v>E</v>
      </c>
      <c r="E42" s="3" t="str">
        <f>IF(ISNUMBER(SEARCH(LV!$I$6, Kustannustehokas_ja_organisoitu!$C42)), "K", "E")</f>
        <v>E</v>
      </c>
      <c r="F42" s="3" t="str">
        <f>IF(ISNUMBER(SEARCH(LV!$I$7, Kustannustehokas_ja_organisoitu!$C42)), "K", "E")</f>
        <v>E</v>
      </c>
      <c r="G42" s="3" t="str">
        <f>IF(ISNUMBER(SEARCH(LV!$I$8, Kustannustehokas_ja_organisoitu!$C42)), "K", "E")</f>
        <v>E</v>
      </c>
      <c r="H42" s="3" t="str">
        <f>IF(OR(KysymyksetTaulukko2[[#This Row],[Toimiala A]]="K",KysymyksetTaulukko2[[#This Row],[Toimiala B]]="K",KysymyksetTaulukko2[[#This Row],[Toimiala C]]="K",KysymyksetTaulukko2[[#This Row],[Toimiala D]]="K"),"Kuuluu","Ei kuulu")</f>
        <v>Ei kuulu</v>
      </c>
      <c r="I42" s="3" t="str">
        <f>IF(OR(KysymyksetTaulukko2[[#This Row],[Luokka]]="Ei kuulu",KysymyksetTaulukko2[[#This Row],[Toimiala-
kysymys]]="Ei kuulu"), "Ei kuulu", "Kuuluu")</f>
        <v>Ei kuulu</v>
      </c>
      <c r="J42" s="3" t="str">
        <f>IF(KysymyksetTaulukko2[[#This Row],[Luokka + toimiala]]="Kuuluu","a) Oman vesilaitoksen kysymykset","b) Muut kysymykset")</f>
        <v>b) Muut kysymykset</v>
      </c>
      <c r="K42" s="9" t="s">
        <v>80</v>
      </c>
      <c r="L42" s="9" t="s">
        <v>114</v>
      </c>
      <c r="M42" s="61" t="str">
        <f>LEFT(KysymyksetTaulukko2[[#This Row],[Alakategoria_]],2)</f>
        <v>8.</v>
      </c>
      <c r="N42" s="107"/>
      <c r="O42" s="70" t="s">
        <v>222</v>
      </c>
      <c r="P42" s="67" t="str">
        <f>IF(AND(KysymyksetTaulukko2[[#This Row],[Luokka]]="Extra",KysymyksetTaulukko2[[#This Row],[Luokka + toimiala]]="Kuuluu"),"Extra","")</f>
        <v/>
      </c>
      <c r="Q42" s="114"/>
      <c r="R42" s="64" t="s">
        <v>118</v>
      </c>
      <c r="S42" s="159"/>
      <c r="T42" s="123">
        <f>IF(AND(KysymyksetTaulukko2[[#This Row],[Luokka + toimiala]]="Kuuluu",KysymyksetTaulukko2[[#This Row],[Vastaus]]="Kyllä"),1,0)</f>
        <v>0</v>
      </c>
      <c r="U42" s="121">
        <f>IF(AND(KysymyksetTaulukko2[[#This Row],[Maksimipisteet]]=1,NOT(ISBLANK(KysymyksetTaulukko2[[#This Row],[Vastaus]]))),1,0)</f>
        <v>0</v>
      </c>
      <c r="V42" s="123">
        <f>IF(OR(KysymyksetTaulukko2[[#This Row],[Luokka + toimiala]]="Ei kuulu",KysymyksetTaulukko2[[#This Row],[Vastaus]]="Ei koske",KysymyksetTaulukko2[[#This Row],[Luokka]]="Extra",KysymyksetTaulukko2[[#This Row],[Otsikkorivi]]="Kyllä"),0,1)</f>
        <v>0</v>
      </c>
    </row>
    <row r="43" spans="1:22" ht="28.5" x14ac:dyDescent="0.35">
      <c r="A43" s="3" t="s">
        <v>19</v>
      </c>
      <c r="B43" s="3" t="str">
        <f>IF(ISNUMBER(SEARCH("," &amp; LV!$B$10 &amp; ",", "," &amp; SUBSTITUTE(A43, " ", "")&amp; ",")),
  "Kuuluu",
  IF(AND(LV!$B$10&gt;=2,
      LV!$B$10&lt;=4,
      OR(ISNUMBER(SEARCH("," &amp;(LV!$B$10+1)&amp; ",", "," &amp; SUBSTITUTE(A43, " ", "")&amp; ",")),
        ISNUMBER(SEARCH("," &amp;(LV!$B$10+2)&amp; ",", "," &amp; SUBSTITUTE(A43, " ", "")&amp; ",")),
        ISNUMBER(SEARCH("," &amp;(LV!$B$10+3)&amp; ",", "," &amp; SUBSTITUTE(A43, " ", "")&amp; ",")),
        ISNUMBER(SEARCH("," &amp;(LV!$B$10+4)&amp; ",", "," &amp; SUBSTITUTE(A43, " ", "")&amp; ",")),
        ISNUMBER(SEARCH("," &amp;(LV!$B$10+5)&amp; ",", "," &amp; SUBSTITUTE(A43, " ", "")&amp; ",")))),
    "Extra",
    "Ei kuulu"))</f>
        <v>Ei kuulu</v>
      </c>
      <c r="C43" s="3" t="s">
        <v>28</v>
      </c>
      <c r="D43" s="3" t="str">
        <f>IF(ISNUMBER(SEARCH(LV!$I$5, Kustannustehokas_ja_organisoitu!C43)), "K", "E")</f>
        <v>E</v>
      </c>
      <c r="E43" s="3" t="str">
        <f>IF(ISNUMBER(SEARCH(LV!$I$6, Kustannustehokas_ja_organisoitu!$C43)), "K", "E")</f>
        <v>E</v>
      </c>
      <c r="F43" s="3" t="str">
        <f>IF(ISNUMBER(SEARCH(LV!$I$7, Kustannustehokas_ja_organisoitu!$C43)), "K", "E")</f>
        <v>E</v>
      </c>
      <c r="G43" s="3" t="str">
        <f>IF(ISNUMBER(SEARCH(LV!$I$8, Kustannustehokas_ja_organisoitu!$C43)), "K", "E")</f>
        <v>E</v>
      </c>
      <c r="H43" s="3" t="str">
        <f>IF(OR(KysymyksetTaulukko2[[#This Row],[Toimiala A]]="K",KysymyksetTaulukko2[[#This Row],[Toimiala B]]="K",KysymyksetTaulukko2[[#This Row],[Toimiala C]]="K",KysymyksetTaulukko2[[#This Row],[Toimiala D]]="K"),"Kuuluu","Ei kuulu")</f>
        <v>Ei kuulu</v>
      </c>
      <c r="I43" s="3" t="str">
        <f>IF(OR(KysymyksetTaulukko2[[#This Row],[Luokka]]="Ei kuulu",KysymyksetTaulukko2[[#This Row],[Toimiala-
kysymys]]="Ei kuulu"), "Ei kuulu", "Kuuluu")</f>
        <v>Ei kuulu</v>
      </c>
      <c r="J43" s="3" t="str">
        <f>IF(KysymyksetTaulukko2[[#This Row],[Luokka + toimiala]]="Kuuluu","a) Oman vesilaitoksen kysymykset","b) Muut kysymykset")</f>
        <v>b) Muut kysymykset</v>
      </c>
      <c r="K43" s="9" t="s">
        <v>80</v>
      </c>
      <c r="L43" s="9" t="s">
        <v>114</v>
      </c>
      <c r="M43" s="61" t="str">
        <f>LEFT(KysymyksetTaulukko2[[#This Row],[Alakategoria_]],2)</f>
        <v>8.</v>
      </c>
      <c r="N43" s="107"/>
      <c r="O43" s="70" t="s">
        <v>222</v>
      </c>
      <c r="P43" s="67" t="str">
        <f>IF(AND(KysymyksetTaulukko2[[#This Row],[Luokka]]="Extra",KysymyksetTaulukko2[[#This Row],[Luokka + toimiala]]="Kuuluu"),"Extra","")</f>
        <v/>
      </c>
      <c r="Q43" s="114"/>
      <c r="R43" s="64" t="s">
        <v>119</v>
      </c>
      <c r="S43" s="159"/>
      <c r="T43" s="123">
        <f>IF(AND(KysymyksetTaulukko2[[#This Row],[Luokka + toimiala]]="Kuuluu",KysymyksetTaulukko2[[#This Row],[Vastaus]]="Kyllä"),1,0)</f>
        <v>0</v>
      </c>
      <c r="U43" s="121">
        <f>IF(AND(KysymyksetTaulukko2[[#This Row],[Maksimipisteet]]=1,NOT(ISBLANK(KysymyksetTaulukko2[[#This Row],[Vastaus]]))),1,0)</f>
        <v>0</v>
      </c>
      <c r="V43" s="123">
        <f>IF(OR(KysymyksetTaulukko2[[#This Row],[Luokka + toimiala]]="Ei kuulu",KysymyksetTaulukko2[[#This Row],[Vastaus]]="Ei koske",KysymyksetTaulukko2[[#This Row],[Luokka]]="Extra",KysymyksetTaulukko2[[#This Row],[Otsikkorivi]]="Kyllä"),0,1)</f>
        <v>0</v>
      </c>
    </row>
    <row r="44" spans="1:22" ht="29" x14ac:dyDescent="0.35">
      <c r="A44" s="3" t="s">
        <v>19</v>
      </c>
      <c r="B44" s="3" t="str">
        <f>IF(ISNUMBER(SEARCH("," &amp; LV!$B$10 &amp; ",", "," &amp; SUBSTITUTE(A44, " ", "")&amp; ",")),
  "Kuuluu",
  IF(AND(LV!$B$10&gt;=2,
      LV!$B$10&lt;=4,
      OR(ISNUMBER(SEARCH("," &amp;(LV!$B$10+1)&amp; ",", "," &amp; SUBSTITUTE(A44, " ", "")&amp; ",")),
        ISNUMBER(SEARCH("," &amp;(LV!$B$10+2)&amp; ",", "," &amp; SUBSTITUTE(A44, " ", "")&amp; ",")),
        ISNUMBER(SEARCH("," &amp;(LV!$B$10+3)&amp; ",", "," &amp; SUBSTITUTE(A44, " ", "")&amp; ",")),
        ISNUMBER(SEARCH("," &amp;(LV!$B$10+4)&amp; ",", "," &amp; SUBSTITUTE(A44, " ", "")&amp; ",")),
        ISNUMBER(SEARCH("," &amp;(LV!$B$10+5)&amp; ",", "," &amp; SUBSTITUTE(A44, " ", "")&amp; ",")))),
    "Extra",
    "Ei kuulu"))</f>
        <v>Ei kuulu</v>
      </c>
      <c r="C44" s="3" t="s">
        <v>28</v>
      </c>
      <c r="D44" s="3" t="str">
        <f>IF(ISNUMBER(SEARCH(LV!$I$5, Kustannustehokas_ja_organisoitu!C44)), "K", "E")</f>
        <v>E</v>
      </c>
      <c r="E44" s="3" t="str">
        <f>IF(ISNUMBER(SEARCH(LV!$I$6, Kustannustehokas_ja_organisoitu!$C44)), "K", "E")</f>
        <v>E</v>
      </c>
      <c r="F44" s="3" t="str">
        <f>IF(ISNUMBER(SEARCH(LV!$I$7, Kustannustehokas_ja_organisoitu!$C44)), "K", "E")</f>
        <v>E</v>
      </c>
      <c r="G44" s="3" t="str">
        <f>IF(ISNUMBER(SEARCH(LV!$I$8, Kustannustehokas_ja_organisoitu!$C44)), "K", "E")</f>
        <v>E</v>
      </c>
      <c r="H44" s="3" t="str">
        <f>IF(OR(KysymyksetTaulukko2[[#This Row],[Toimiala A]]="K",KysymyksetTaulukko2[[#This Row],[Toimiala B]]="K",KysymyksetTaulukko2[[#This Row],[Toimiala C]]="K",KysymyksetTaulukko2[[#This Row],[Toimiala D]]="K"),"Kuuluu","Ei kuulu")</f>
        <v>Ei kuulu</v>
      </c>
      <c r="I44" s="3" t="str">
        <f>IF(OR(KysymyksetTaulukko2[[#This Row],[Luokka]]="Ei kuulu",KysymyksetTaulukko2[[#This Row],[Toimiala-
kysymys]]="Ei kuulu"), "Ei kuulu", "Kuuluu")</f>
        <v>Ei kuulu</v>
      </c>
      <c r="J44" s="3" t="str">
        <f>IF(KysymyksetTaulukko2[[#This Row],[Luokka + toimiala]]="Kuuluu","a) Oman vesilaitoksen kysymykset","b) Muut kysymykset")</f>
        <v>b) Muut kysymykset</v>
      </c>
      <c r="K44" s="9" t="s">
        <v>80</v>
      </c>
      <c r="L44" s="9" t="s">
        <v>114</v>
      </c>
      <c r="M44" s="61" t="str">
        <f>LEFT(KysymyksetTaulukko2[[#This Row],[Alakategoria_]],2)</f>
        <v>8.</v>
      </c>
      <c r="N44" s="107"/>
      <c r="O44" s="70" t="s">
        <v>222</v>
      </c>
      <c r="P44" s="67" t="str">
        <f>IF(AND(KysymyksetTaulukko2[[#This Row],[Luokka]]="Extra",KysymyksetTaulukko2[[#This Row],[Luokka + toimiala]]="Kuuluu"),"Extra","")</f>
        <v/>
      </c>
      <c r="Q44" s="114"/>
      <c r="R44" s="64" t="s">
        <v>120</v>
      </c>
      <c r="S44" s="159"/>
      <c r="T44" s="123">
        <f>IF(AND(KysymyksetTaulukko2[[#This Row],[Luokka + toimiala]]="Kuuluu",KysymyksetTaulukko2[[#This Row],[Vastaus]]="Kyllä"),1,0)</f>
        <v>0</v>
      </c>
      <c r="U44" s="121">
        <f>IF(AND(KysymyksetTaulukko2[[#This Row],[Maksimipisteet]]=1,NOT(ISBLANK(KysymyksetTaulukko2[[#This Row],[Vastaus]]))),1,0)</f>
        <v>0</v>
      </c>
      <c r="V44" s="123">
        <f>IF(OR(KysymyksetTaulukko2[[#This Row],[Luokka + toimiala]]="Ei kuulu",KysymyksetTaulukko2[[#This Row],[Vastaus]]="Ei koske",KysymyksetTaulukko2[[#This Row],[Luokka]]="Extra",KysymyksetTaulukko2[[#This Row],[Otsikkorivi]]="Kyllä"),0,1)</f>
        <v>0</v>
      </c>
    </row>
    <row r="45" spans="1:22" ht="43.5" x14ac:dyDescent="0.35">
      <c r="A45" s="3">
        <v>3.4</v>
      </c>
      <c r="B45" s="3" t="str">
        <f>IF(ISNUMBER(SEARCH("," &amp; LV!$B$10 &amp; ",", "," &amp; SUBSTITUTE(A45, " ", "")&amp; ",")),
  "Kuuluu",
  IF(AND(LV!$B$10&gt;=2,
      LV!$B$10&lt;=4,
      OR(ISNUMBER(SEARCH("," &amp;(LV!$B$10+1)&amp; ",", "," &amp; SUBSTITUTE(A45, " ", "")&amp; ",")),
        ISNUMBER(SEARCH("," &amp;(LV!$B$10+2)&amp; ",", "," &amp; SUBSTITUTE(A45, " ", "")&amp; ",")),
        ISNUMBER(SEARCH("," &amp;(LV!$B$10+3)&amp; ",", "," &amp; SUBSTITUTE(A45, " ", "")&amp; ",")),
        ISNUMBER(SEARCH("," &amp;(LV!$B$10+4)&amp; ",", "," &amp; SUBSTITUTE(A45, " ", "")&amp; ",")),
        ISNUMBER(SEARCH("," &amp;(LV!$B$10+5)&amp; ",", "," &amp; SUBSTITUTE(A45, " ", "")&amp; ",")))),
    "Extra",
    "Ei kuulu"))</f>
        <v>Ei kuulu</v>
      </c>
      <c r="C45" s="3" t="s">
        <v>28</v>
      </c>
      <c r="D45" s="3" t="str">
        <f>IF(ISNUMBER(SEARCH(LV!$I$5, Kustannustehokas_ja_organisoitu!C45)), "K", "E")</f>
        <v>E</v>
      </c>
      <c r="E45" s="3" t="str">
        <f>IF(ISNUMBER(SEARCH(LV!$I$6, Kustannustehokas_ja_organisoitu!$C45)), "K", "E")</f>
        <v>E</v>
      </c>
      <c r="F45" s="3" t="str">
        <f>IF(ISNUMBER(SEARCH(LV!$I$7, Kustannustehokas_ja_organisoitu!$C45)), "K", "E")</f>
        <v>E</v>
      </c>
      <c r="G45" s="3" t="str">
        <f>IF(ISNUMBER(SEARCH(LV!$I$8, Kustannustehokas_ja_organisoitu!$C45)), "K", "E")</f>
        <v>E</v>
      </c>
      <c r="H45" s="3" t="str">
        <f>IF(OR(KysymyksetTaulukko2[[#This Row],[Toimiala A]]="K",KysymyksetTaulukko2[[#This Row],[Toimiala B]]="K",KysymyksetTaulukko2[[#This Row],[Toimiala C]]="K",KysymyksetTaulukko2[[#This Row],[Toimiala D]]="K"),"Kuuluu","Ei kuulu")</f>
        <v>Ei kuulu</v>
      </c>
      <c r="I45" s="3" t="str">
        <f>IF(OR(KysymyksetTaulukko2[[#This Row],[Luokka]]="Ei kuulu",KysymyksetTaulukko2[[#This Row],[Toimiala-
kysymys]]="Ei kuulu"), "Ei kuulu", "Kuuluu")</f>
        <v>Ei kuulu</v>
      </c>
      <c r="J45" s="3" t="str">
        <f>IF(KysymyksetTaulukko2[[#This Row],[Luokka + toimiala]]="Kuuluu","a) Oman vesilaitoksen kysymykset","b) Muut kysymykset")</f>
        <v>b) Muut kysymykset</v>
      </c>
      <c r="K45" s="9" t="s">
        <v>80</v>
      </c>
      <c r="L45" s="9" t="s">
        <v>114</v>
      </c>
      <c r="M45" s="61" t="str">
        <f>LEFT(KysymyksetTaulukko2[[#This Row],[Alakategoria_]],2)</f>
        <v>8.</v>
      </c>
      <c r="N45" s="107"/>
      <c r="O45" s="70" t="s">
        <v>222</v>
      </c>
      <c r="P45" s="67" t="str">
        <f>IF(AND(KysymyksetTaulukko2[[#This Row],[Luokka]]="Extra",KysymyksetTaulukko2[[#This Row],[Luokka + toimiala]]="Kuuluu"),"Extra","")</f>
        <v/>
      </c>
      <c r="Q45" s="114"/>
      <c r="R45" s="64" t="s">
        <v>121</v>
      </c>
      <c r="S45" s="159"/>
      <c r="T45" s="123">
        <f>IF(AND(KysymyksetTaulukko2[[#This Row],[Luokka + toimiala]]="Kuuluu",KysymyksetTaulukko2[[#This Row],[Vastaus]]="Kyllä"),1,0)</f>
        <v>0</v>
      </c>
      <c r="U45" s="121">
        <f>IF(AND(KysymyksetTaulukko2[[#This Row],[Maksimipisteet]]=1,NOT(ISBLANK(KysymyksetTaulukko2[[#This Row],[Vastaus]]))),1,0)</f>
        <v>0</v>
      </c>
      <c r="V45" s="123">
        <f>IF(OR(KysymyksetTaulukko2[[#This Row],[Luokka + toimiala]]="Ei kuulu",KysymyksetTaulukko2[[#This Row],[Vastaus]]="Ei koske",KysymyksetTaulukko2[[#This Row],[Luokka]]="Extra",KysymyksetTaulukko2[[#This Row],[Otsikkorivi]]="Kyllä"),0,1)</f>
        <v>0</v>
      </c>
    </row>
    <row r="46" spans="1:22" ht="28.5" x14ac:dyDescent="0.35">
      <c r="A46" s="3">
        <v>5</v>
      </c>
      <c r="B46" s="3" t="str">
        <f>IF(ISNUMBER(SEARCH("," &amp; LV!$B$10 &amp; ",", "," &amp; SUBSTITUTE(A46, " ", "")&amp; ",")),
  "Kuuluu",
  IF(AND(LV!$B$10&gt;=2,
      LV!$B$10&lt;=4,
      OR(ISNUMBER(SEARCH("," &amp;(LV!$B$10+1)&amp; ",", "," &amp; SUBSTITUTE(A46, " ", "")&amp; ",")),
        ISNUMBER(SEARCH("," &amp;(LV!$B$10+2)&amp; ",", "," &amp; SUBSTITUTE(A46, " ", "")&amp; ",")),
        ISNUMBER(SEARCH("," &amp;(LV!$B$10+3)&amp; ",", "," &amp; SUBSTITUTE(A46, " ", "")&amp; ",")),
        ISNUMBER(SEARCH("," &amp;(LV!$B$10+4)&amp; ",", "," &amp; SUBSTITUTE(A46, " ", "")&amp; ",")),
        ISNUMBER(SEARCH("," &amp;(LV!$B$10+5)&amp; ",", "," &amp; SUBSTITUTE(A46, " ", "")&amp; ",")))),
    "Extra",
    "Ei kuulu"))</f>
        <v>Ei kuulu</v>
      </c>
      <c r="C46" s="3" t="s">
        <v>28</v>
      </c>
      <c r="D46" s="3" t="str">
        <f>IF(ISNUMBER(SEARCH(LV!$I$5, Kustannustehokas_ja_organisoitu!C46)), "K", "E")</f>
        <v>E</v>
      </c>
      <c r="E46" s="3" t="str">
        <f>IF(ISNUMBER(SEARCH(LV!$I$6, Kustannustehokas_ja_organisoitu!$C46)), "K", "E")</f>
        <v>E</v>
      </c>
      <c r="F46" s="3" t="str">
        <f>IF(ISNUMBER(SEARCH(LV!$I$7, Kustannustehokas_ja_organisoitu!$C46)), "K", "E")</f>
        <v>E</v>
      </c>
      <c r="G46" s="3" t="str">
        <f>IF(ISNUMBER(SEARCH(LV!$I$8, Kustannustehokas_ja_organisoitu!$C46)), "K", "E")</f>
        <v>E</v>
      </c>
      <c r="H46" s="3" t="str">
        <f>IF(OR(KysymyksetTaulukko2[[#This Row],[Toimiala A]]="K",KysymyksetTaulukko2[[#This Row],[Toimiala B]]="K",KysymyksetTaulukko2[[#This Row],[Toimiala C]]="K",KysymyksetTaulukko2[[#This Row],[Toimiala D]]="K"),"Kuuluu","Ei kuulu")</f>
        <v>Ei kuulu</v>
      </c>
      <c r="I46" s="3" t="str">
        <f>IF(OR(KysymyksetTaulukko2[[#This Row],[Luokka]]="Ei kuulu",KysymyksetTaulukko2[[#This Row],[Toimiala-
kysymys]]="Ei kuulu"), "Ei kuulu", "Kuuluu")</f>
        <v>Ei kuulu</v>
      </c>
      <c r="J46" s="3" t="str">
        <f>IF(KysymyksetTaulukko2[[#This Row],[Luokka + toimiala]]="Kuuluu","a) Oman vesilaitoksen kysymykset","b) Muut kysymykset")</f>
        <v>b) Muut kysymykset</v>
      </c>
      <c r="K46" s="9" t="s">
        <v>80</v>
      </c>
      <c r="L46" s="9" t="s">
        <v>114</v>
      </c>
      <c r="M46" s="61" t="str">
        <f>LEFT(KysymyksetTaulukko2[[#This Row],[Alakategoria_]],2)</f>
        <v>8.</v>
      </c>
      <c r="N46" s="107"/>
      <c r="O46" s="70" t="s">
        <v>222</v>
      </c>
      <c r="P46" s="67" t="str">
        <f>IF(AND(KysymyksetTaulukko2[[#This Row],[Luokka]]="Extra",KysymyksetTaulukko2[[#This Row],[Luokka + toimiala]]="Kuuluu"),"Extra","")</f>
        <v/>
      </c>
      <c r="Q46" s="114"/>
      <c r="R46" s="64" t="s">
        <v>122</v>
      </c>
      <c r="S46" s="159"/>
      <c r="T46" s="123">
        <f>IF(AND(KysymyksetTaulukko2[[#This Row],[Luokka + toimiala]]="Kuuluu",KysymyksetTaulukko2[[#This Row],[Vastaus]]="Kyllä"),1,0)</f>
        <v>0</v>
      </c>
      <c r="U46" s="121">
        <f>IF(AND(KysymyksetTaulukko2[[#This Row],[Maksimipisteet]]=1,NOT(ISBLANK(KysymyksetTaulukko2[[#This Row],[Vastaus]]))),1,0)</f>
        <v>0</v>
      </c>
      <c r="V46" s="123">
        <f>IF(OR(KysymyksetTaulukko2[[#This Row],[Luokka + toimiala]]="Ei kuulu",KysymyksetTaulukko2[[#This Row],[Vastaus]]="Ei koske",KysymyksetTaulukko2[[#This Row],[Luokka]]="Extra",KysymyksetTaulukko2[[#This Row],[Otsikkorivi]]="Kyllä"),0,1)</f>
        <v>0</v>
      </c>
    </row>
    <row r="47" spans="1:22" x14ac:dyDescent="0.35">
      <c r="S47" s="18"/>
      <c r="V47" s="6"/>
    </row>
  </sheetData>
  <conditionalFormatting sqref="R5:R46">
    <cfRule type="expression" dxfId="26" priority="1">
      <formula>I5="Ei kuulu"</formula>
    </cfRule>
    <cfRule type="expression" dxfId="25" priority="2">
      <formula>P5="Extra"</formula>
    </cfRule>
  </conditionalFormatting>
  <conditionalFormatting sqref="S5:S46">
    <cfRule type="expression" dxfId="24" priority="3">
      <formula>AND(P5="Extra",NOT(ISBLANK(S5)))</formula>
    </cfRule>
    <cfRule type="expression" dxfId="23" priority="4">
      <formula>NOT(ISBLANK($S5))</formula>
    </cfRule>
    <cfRule type="expression" dxfId="22" priority="5">
      <formula>I5="Ei kuulu"</formula>
    </cfRule>
  </conditionalFormatting>
  <hyperlinks>
    <hyperlink ref="S1" location="Ohje!A1" tooltip="Klikkaa tästä niin pääset lukemaan ohjeita toiselta välilehdeltä." display="Ohje" xr:uid="{A77DB753-0A62-4AB2-A6BA-051E8925F92E}"/>
  </hyperlinks>
  <pageMargins left="0.7" right="0.7" top="0.75" bottom="0.75" header="0.3" footer="0.3"/>
  <pageSetup paperSize="9" orientation="portrait" horizontalDpi="4294967293" verticalDpi="0"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B579EF6A-EF53-4792-814B-185212A34997}">
          <x14:formula1>
            <xm:f>LV!$B$30:$B$32</xm:f>
          </x14:formula1>
          <xm:sqref>S6:S11 S13:S24 S26:S37 S39:S46</xm:sqref>
        </x14:dataValidation>
      </x14:dataValidations>
    </ext>
    <ext xmlns:x15="http://schemas.microsoft.com/office/spreadsheetml/2010/11/main" uri="{3A4CF648-6AED-40f4-86FF-DC5316D8AED3}">
      <x14:slicerList xmlns:x14="http://schemas.microsoft.com/office/spreadsheetml/2009/9/main">
        <x14:slicer r:id="rId5"/>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66B9-8E74-406D-9EF5-FCE2E4F62FC2}">
  <sheetPr>
    <tabColor rgb="FFD0EF67"/>
  </sheetPr>
  <dimension ref="A1:AH46"/>
  <sheetViews>
    <sheetView showGridLines="0" topLeftCell="O1" workbookViewId="0">
      <pane ySplit="4" topLeftCell="A5" activePane="bottomLeft" state="frozen"/>
      <selection activeCell="B1" sqref="B1"/>
      <selection pane="bottomLeft" activeCell="S6" sqref="S6"/>
    </sheetView>
  </sheetViews>
  <sheetFormatPr defaultColWidth="8.81640625" defaultRowHeight="14.5" x14ac:dyDescent="0.35"/>
  <cols>
    <col min="1" max="1" width="8.1796875" style="6" hidden="1" customWidth="1"/>
    <col min="2" max="2" width="11.36328125" style="6" hidden="1" customWidth="1"/>
    <col min="3" max="3" width="11.90625" style="6" hidden="1" customWidth="1"/>
    <col min="4" max="7" width="7.54296875" style="6" hidden="1" customWidth="1"/>
    <col min="8" max="10" width="9.453125" style="6" hidden="1" customWidth="1"/>
    <col min="11" max="11" width="28" style="9" hidden="1" customWidth="1"/>
    <col min="12" max="12" width="90.6328125" style="9" hidden="1" customWidth="1"/>
    <col min="13" max="13" width="8.90625" style="12" hidden="1" customWidth="1"/>
    <col min="14" max="14" width="8.90625" style="17" hidden="1" customWidth="1"/>
    <col min="15" max="15" width="8.90625" style="17" customWidth="1"/>
    <col min="16" max="16" width="9.36328125" style="16" customWidth="1"/>
    <col min="17" max="17" width="9.36328125" style="16" hidden="1" customWidth="1"/>
    <col min="18" max="18" width="119.54296875" style="2" customWidth="1"/>
    <col min="19" max="19" width="8.81640625" style="16"/>
    <col min="20" max="22" width="8.81640625" style="18" hidden="1" customWidth="1"/>
    <col min="23" max="16384" width="8.81640625" style="6"/>
  </cols>
  <sheetData>
    <row r="1" spans="1:34" x14ac:dyDescent="0.35">
      <c r="O1" s="129"/>
      <c r="P1" s="129"/>
      <c r="Q1" s="129"/>
      <c r="R1" s="129"/>
      <c r="S1" s="160" t="s">
        <v>272</v>
      </c>
      <c r="T1" s="129"/>
      <c r="U1" s="129"/>
      <c r="V1" s="129"/>
      <c r="W1" s="129"/>
      <c r="X1" s="129"/>
      <c r="Y1" s="130"/>
      <c r="Z1" s="130"/>
      <c r="AA1" s="118"/>
      <c r="AB1" s="119"/>
      <c r="AC1" s="119"/>
      <c r="AD1" s="120"/>
      <c r="AE1" s="120"/>
      <c r="AF1" s="131"/>
      <c r="AG1" s="120"/>
      <c r="AH1" s="129"/>
    </row>
    <row r="2" spans="1:34" ht="20" x14ac:dyDescent="0.4">
      <c r="A2" s="129"/>
      <c r="B2" s="129"/>
      <c r="C2" s="129"/>
      <c r="D2" s="129"/>
      <c r="E2" s="129"/>
      <c r="F2" s="129"/>
      <c r="G2" s="129"/>
      <c r="H2" s="129"/>
      <c r="I2" s="129"/>
      <c r="J2" s="129"/>
      <c r="K2" s="130"/>
      <c r="L2" s="130"/>
      <c r="M2" s="118"/>
      <c r="N2" s="119"/>
      <c r="O2" s="129"/>
      <c r="P2" s="139" t="s">
        <v>123</v>
      </c>
      <c r="Q2" s="120"/>
      <c r="R2" s="131"/>
      <c r="S2" s="120"/>
      <c r="W2" s="129"/>
      <c r="X2" s="129"/>
      <c r="Y2" s="129"/>
      <c r="Z2" s="129"/>
      <c r="AA2" s="129"/>
      <c r="AB2" s="129"/>
      <c r="AC2" s="129"/>
      <c r="AD2" s="129"/>
      <c r="AE2" s="129"/>
      <c r="AF2" s="129"/>
      <c r="AG2" s="129"/>
      <c r="AH2" s="129"/>
    </row>
    <row r="3" spans="1:34" ht="19.75" customHeight="1" x14ac:dyDescent="0.4">
      <c r="M3" s="118"/>
      <c r="N3" s="119"/>
      <c r="O3" s="119"/>
      <c r="P3" s="120"/>
      <c r="Q3" s="120"/>
      <c r="R3" s="143" t="str">
        <f>'TEKNINEN - TulostenLasku'!$C$53</f>
        <v>Vastattu 0 %:iin vesilaitostanne koskevista pakollisista kysymyksistä.</v>
      </c>
      <c r="S3" s="120"/>
      <c r="W3" s="129"/>
      <c r="X3" s="129"/>
      <c r="Y3" s="129"/>
      <c r="Z3" s="129"/>
      <c r="AA3" s="129"/>
      <c r="AB3" s="129"/>
      <c r="AC3" s="129"/>
      <c r="AD3" s="129"/>
      <c r="AE3" s="129"/>
      <c r="AF3" s="129"/>
      <c r="AG3" s="129"/>
      <c r="AH3" s="129"/>
    </row>
    <row r="4" spans="1:34" ht="46.5" customHeight="1" x14ac:dyDescent="0.35">
      <c r="A4" s="71" t="s">
        <v>176</v>
      </c>
      <c r="B4" s="71" t="s">
        <v>0</v>
      </c>
      <c r="C4" s="71" t="s">
        <v>175</v>
      </c>
      <c r="D4" s="115" t="s">
        <v>252</v>
      </c>
      <c r="E4" s="115" t="s">
        <v>253</v>
      </c>
      <c r="F4" s="115" t="s">
        <v>254</v>
      </c>
      <c r="G4" s="115" t="s">
        <v>255</v>
      </c>
      <c r="H4" s="71" t="s">
        <v>223</v>
      </c>
      <c r="I4" s="71" t="s">
        <v>183</v>
      </c>
      <c r="J4" s="71" t="s">
        <v>259</v>
      </c>
      <c r="K4" s="115" t="s">
        <v>1</v>
      </c>
      <c r="L4" s="115" t="s">
        <v>228</v>
      </c>
      <c r="M4" s="72" t="s">
        <v>226</v>
      </c>
      <c r="N4" s="72" t="s">
        <v>205</v>
      </c>
      <c r="O4" s="134" t="s">
        <v>225</v>
      </c>
      <c r="P4" s="134" t="s">
        <v>224</v>
      </c>
      <c r="Q4" s="135" t="s">
        <v>227</v>
      </c>
      <c r="R4" s="132" t="s">
        <v>199</v>
      </c>
      <c r="S4" s="133" t="s">
        <v>174</v>
      </c>
      <c r="T4" s="116" t="s">
        <v>185</v>
      </c>
      <c r="U4" s="116" t="s">
        <v>250</v>
      </c>
      <c r="V4" s="116" t="s">
        <v>184</v>
      </c>
      <c r="W4" s="129"/>
      <c r="X4" s="129"/>
      <c r="Y4" s="129"/>
      <c r="Z4" s="129"/>
      <c r="AA4" s="140"/>
      <c r="AB4" s="141"/>
      <c r="AC4" s="129"/>
      <c r="AD4" s="142"/>
      <c r="AE4" s="129"/>
      <c r="AF4" s="129"/>
      <c r="AG4" s="129"/>
      <c r="AH4" s="129"/>
    </row>
    <row r="5" spans="1:34" ht="28.5" x14ac:dyDescent="0.35">
      <c r="A5" s="3" t="s">
        <v>6</v>
      </c>
      <c r="B5" s="3" t="str">
        <f>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f>
        <v>Ei kuulu</v>
      </c>
      <c r="C5" s="3" t="s">
        <v>28</v>
      </c>
      <c r="D5" s="3" t="str">
        <f>IF(ISNUMBER(SEARCH(LV!$I$5, Kestävä_ja_kehittyvä!C5)), "K", "E")</f>
        <v>E</v>
      </c>
      <c r="E5" s="3" t="str">
        <f>IF(ISNUMBER(SEARCH(LV!$I$6, Kestävä_ja_kehittyvä!$C5)), "K", "E")</f>
        <v>E</v>
      </c>
      <c r="F5" s="3" t="str">
        <f>IF(ISNUMBER(SEARCH(LV!$I$7, Kestävä_ja_kehittyvä!$C5)), "K", "E")</f>
        <v>E</v>
      </c>
      <c r="G5" s="3" t="str">
        <f>IF(ISNUMBER(SEARCH(LV!$I$8, Kestävä_ja_kehittyvä!$C5)), "K", "E")</f>
        <v>E</v>
      </c>
      <c r="H5" s="3" t="str">
        <f>IF(OR(KysymyksetTaulukko3[[#This Row],[Toimiala A]]="K",KysymyksetTaulukko3[[#This Row],[Toimiala B]]="K",KysymyksetTaulukko3[[#This Row],[Toimiala C]]="K",KysymyksetTaulukko3[[#This Row],[Toimiala D]]="K"),"Kuuluu","Ei kuulu")</f>
        <v>Ei kuulu</v>
      </c>
      <c r="I5" s="3" t="str">
        <f>IF(OR(KysymyksetTaulukko3[[#This Row],[Luokka]]="Ei kuulu",KysymyksetTaulukko3[[#This Row],[Toimiala-
kysymys]]="Ei kuulu"), "Ei kuulu", "Kuuluu")</f>
        <v>Ei kuulu</v>
      </c>
      <c r="J5" s="3" t="str">
        <f>IF(KysymyksetTaulukko3[[#This Row],[Luokka + toimiala]]="Kuuluu","a) Oman vesilaitoksen kysymykset","b) Muut kysymykset")</f>
        <v>b) Muut kysymykset</v>
      </c>
      <c r="K5" s="9" t="s">
        <v>123</v>
      </c>
      <c r="L5" s="9" t="s">
        <v>241</v>
      </c>
      <c r="M5" s="61" t="str">
        <f>LEFT(KysymyksetTaulukko3[[#This Row],[Alakategoria_]],2)</f>
        <v>_O</v>
      </c>
      <c r="N5" s="107"/>
      <c r="O5" s="70"/>
      <c r="P5" s="67" t="str">
        <f>IF(AND(KysymyksetTaulukko3[[#This Row],[Luokka]]="Extra",KysymyksetTaulukko3[[#This Row],[Luokka + toimiala]]="Kuuluu"),"Extra","")</f>
        <v/>
      </c>
      <c r="Q5" s="114" t="s">
        <v>177</v>
      </c>
      <c r="R5" s="128" t="s">
        <v>124</v>
      </c>
      <c r="S5" s="158"/>
      <c r="T5" s="123">
        <f>IF(AND(KysymyksetTaulukko3[[#This Row],[Luokka + toimiala]]="Kuuluu",KysymyksetTaulukko3[[#This Row],[Vastaus]]="Kyllä"),1,0)</f>
        <v>0</v>
      </c>
      <c r="U5" s="121">
        <f>IF(AND(KysymyksetTaulukko3[[#This Row],[Maksimipisteet]]=1,NOT(ISBLANK(KysymyksetTaulukko3[[#This Row],[Vastaus]]))),1,0)</f>
        <v>0</v>
      </c>
      <c r="V5" s="123">
        <f>IF(OR(KysymyksetTaulukko3[[#This Row],[Luokka + toimiala]]="Ei kuulu",KysymyksetTaulukko3[[#This Row],[Vastaus]]="Ei koske",KysymyksetTaulukko3[[#This Row],[Luokka]]="Extra",KysymyksetTaulukko3[[#This Row],[Otsikkorivi]]="Kyllä"),0,1)</f>
        <v>0</v>
      </c>
    </row>
    <row r="6" spans="1:34" ht="28.5" x14ac:dyDescent="0.35">
      <c r="A6" s="3" t="s">
        <v>12</v>
      </c>
      <c r="B6" s="3" t="str">
        <f>IF(ISNUMBER(SEARCH("," &amp; LV!$B$10 &amp; ",", "," &amp; SUBSTITUTE(A6, " ", "")&amp; ",")),
  "Kuuluu",
  IF(AND(LV!$B$10&gt;=2,
      LV!$B$10&lt;=4,
      OR(ISNUMBER(SEARCH("," &amp;(LV!$B$10+1)&amp; ",", "," &amp; SUBSTITUTE(A6, " ", "")&amp; ",")),
        ISNUMBER(SEARCH("," &amp;(LV!$B$10+2)&amp; ",", "," &amp; SUBSTITUTE(A6, " ", "")&amp; ",")),
        ISNUMBER(SEARCH("," &amp;(LV!$B$10+3)&amp; ",", "," &amp; SUBSTITUTE(A6, " ", "")&amp; ",")),
        ISNUMBER(SEARCH("," &amp;(LV!$B$10+4)&amp; ",", "," &amp; SUBSTITUTE(A6, " ", "")&amp; ",")),
        ISNUMBER(SEARCH("," &amp;(LV!$B$10+5)&amp; ",", "," &amp; SUBSTITUTE(A6, " ", "")&amp; ",")))),
    "Extra",
    "Ei kuulu"))</f>
        <v>Ei kuulu</v>
      </c>
      <c r="C6" s="3" t="s">
        <v>126</v>
      </c>
      <c r="D6" s="3" t="str">
        <f>IF(ISNUMBER(SEARCH(LV!$I$5, Kestävä_ja_kehittyvä!C6)), "K", "E")</f>
        <v>E</v>
      </c>
      <c r="E6" s="3" t="str">
        <f>IF(ISNUMBER(SEARCH(LV!$I$6, Kestävä_ja_kehittyvä!$C6)), "K", "E")</f>
        <v>E</v>
      </c>
      <c r="F6" s="3" t="str">
        <f>IF(ISNUMBER(SEARCH(LV!$I$7, Kestävä_ja_kehittyvä!$C6)), "K", "E")</f>
        <v>E</v>
      </c>
      <c r="G6" s="3" t="str">
        <f>IF(ISNUMBER(SEARCH(LV!$I$8, Kestävä_ja_kehittyvä!$C6)), "K", "E")</f>
        <v>E</v>
      </c>
      <c r="H6" s="3" t="str">
        <f>IF(OR(KysymyksetTaulukko3[[#This Row],[Toimiala A]]="K",KysymyksetTaulukko3[[#This Row],[Toimiala B]]="K",KysymyksetTaulukko3[[#This Row],[Toimiala C]]="K",KysymyksetTaulukko3[[#This Row],[Toimiala D]]="K"),"Kuuluu","Ei kuulu")</f>
        <v>Ei kuulu</v>
      </c>
      <c r="I6" s="3" t="str">
        <f>IF(OR(KysymyksetTaulukko3[[#This Row],[Luokka]]="Ei kuulu",KysymyksetTaulukko3[[#This Row],[Toimiala-
kysymys]]="Ei kuulu"), "Ei kuulu", "Kuuluu")</f>
        <v>Ei kuulu</v>
      </c>
      <c r="J6" s="3" t="str">
        <f>IF(KysymyksetTaulukko3[[#This Row],[Luokka + toimiala]]="Kuuluu","a) Oman vesilaitoksen kysymykset","b) Muut kysymykset")</f>
        <v>b) Muut kysymykset</v>
      </c>
      <c r="K6" s="9" t="s">
        <v>123</v>
      </c>
      <c r="L6" s="9" t="s">
        <v>124</v>
      </c>
      <c r="M6" s="61" t="str">
        <f>LEFT(KysymyksetTaulukko3[[#This Row],[Alakategoria_]],2)</f>
        <v>9.</v>
      </c>
      <c r="N6" s="107" t="s">
        <v>11</v>
      </c>
      <c r="O6" s="70" t="s">
        <v>206</v>
      </c>
      <c r="P6" s="67" t="str">
        <f>IF(AND(KysymyksetTaulukko3[[#This Row],[Luokka]]="Extra",KysymyksetTaulukko3[[#This Row],[Luokka + toimiala]]="Kuuluu"),"Extra","")</f>
        <v/>
      </c>
      <c r="Q6" s="114"/>
      <c r="R6" s="64" t="s">
        <v>125</v>
      </c>
      <c r="S6" s="159"/>
      <c r="T6" s="123">
        <f>IF(AND(KysymyksetTaulukko3[[#This Row],[Luokka + toimiala]]="Kuuluu",KysymyksetTaulukko3[[#This Row],[Vastaus]]="Kyllä"),1,0)</f>
        <v>0</v>
      </c>
      <c r="U6" s="121">
        <f>IF(AND(KysymyksetTaulukko3[[#This Row],[Maksimipisteet]]=1,NOT(ISBLANK(KysymyksetTaulukko3[[#This Row],[Vastaus]]))),1,0)</f>
        <v>0</v>
      </c>
      <c r="V6" s="123">
        <f>IF(OR(KysymyksetTaulukko3[[#This Row],[Luokka + toimiala]]="Ei kuulu",KysymyksetTaulukko3[[#This Row],[Vastaus]]="Ei koske",KysymyksetTaulukko3[[#This Row],[Luokka]]="Extra",KysymyksetTaulukko3[[#This Row],[Otsikkorivi]]="Kyllä"),0,1)</f>
        <v>0</v>
      </c>
    </row>
    <row r="7" spans="1:34" ht="28.5" x14ac:dyDescent="0.35">
      <c r="A7" s="3" t="s">
        <v>12</v>
      </c>
      <c r="B7" s="3" t="str">
        <f>IF(ISNUMBER(SEARCH("," &amp; LV!$B$10 &amp; ",", "," &amp; SUBSTITUTE(A7, " ", "")&amp; ",")),
  "Kuuluu",
  IF(AND(LV!$B$10&gt;=2,
      LV!$B$10&lt;=4,
      OR(ISNUMBER(SEARCH("," &amp;(LV!$B$10+1)&amp; ",", "," &amp; SUBSTITUTE(A7, " ", "")&amp; ",")),
        ISNUMBER(SEARCH("," &amp;(LV!$B$10+2)&amp; ",", "," &amp; SUBSTITUTE(A7, " ", "")&amp; ",")),
        ISNUMBER(SEARCH("," &amp;(LV!$B$10+3)&amp; ",", "," &amp; SUBSTITUTE(A7, " ", "")&amp; ",")),
        ISNUMBER(SEARCH("," &amp;(LV!$B$10+4)&amp; ",", "," &amp; SUBSTITUTE(A7, " ", "")&amp; ",")),
        ISNUMBER(SEARCH("," &amp;(LV!$B$10+5)&amp; ",", "," &amp; SUBSTITUTE(A7, " ", "")&amp; ",")))),
    "Extra",
    "Ei kuulu"))</f>
        <v>Ei kuulu</v>
      </c>
      <c r="C7" s="3" t="s">
        <v>126</v>
      </c>
      <c r="D7" s="3" t="str">
        <f>IF(ISNUMBER(SEARCH(LV!$I$5, Kestävä_ja_kehittyvä!C7)), "K", "E")</f>
        <v>E</v>
      </c>
      <c r="E7" s="3" t="str">
        <f>IF(ISNUMBER(SEARCH(LV!$I$6, Kestävä_ja_kehittyvä!$C7)), "K", "E")</f>
        <v>E</v>
      </c>
      <c r="F7" s="3" t="str">
        <f>IF(ISNUMBER(SEARCH(LV!$I$7, Kestävä_ja_kehittyvä!$C7)), "K", "E")</f>
        <v>E</v>
      </c>
      <c r="G7" s="3" t="str">
        <f>IF(ISNUMBER(SEARCH(LV!$I$8, Kestävä_ja_kehittyvä!$C7)), "K", "E")</f>
        <v>E</v>
      </c>
      <c r="H7" s="3" t="str">
        <f>IF(OR(KysymyksetTaulukko3[[#This Row],[Toimiala A]]="K",KysymyksetTaulukko3[[#This Row],[Toimiala B]]="K",KysymyksetTaulukko3[[#This Row],[Toimiala C]]="K",KysymyksetTaulukko3[[#This Row],[Toimiala D]]="K"),"Kuuluu","Ei kuulu")</f>
        <v>Ei kuulu</v>
      </c>
      <c r="I7" s="3" t="str">
        <f>IF(OR(KysymyksetTaulukko3[[#This Row],[Luokka]]="Ei kuulu",KysymyksetTaulukko3[[#This Row],[Toimiala-
kysymys]]="Ei kuulu"), "Ei kuulu", "Kuuluu")</f>
        <v>Ei kuulu</v>
      </c>
      <c r="J7" s="3" t="str">
        <f>IF(KysymyksetTaulukko3[[#This Row],[Luokka + toimiala]]="Kuuluu","a) Oman vesilaitoksen kysymykset","b) Muut kysymykset")</f>
        <v>b) Muut kysymykset</v>
      </c>
      <c r="K7" s="9" t="s">
        <v>123</v>
      </c>
      <c r="L7" s="9" t="s">
        <v>124</v>
      </c>
      <c r="M7" s="61" t="str">
        <f>LEFT(KysymyksetTaulukko3[[#This Row],[Alakategoria_]],2)</f>
        <v>9.</v>
      </c>
      <c r="N7" s="107" t="s">
        <v>11</v>
      </c>
      <c r="O7" s="70" t="s">
        <v>206</v>
      </c>
      <c r="P7" s="67" t="str">
        <f>IF(AND(KysymyksetTaulukko3[[#This Row],[Luokka]]="Extra",KysymyksetTaulukko3[[#This Row],[Luokka + toimiala]]="Kuuluu"),"Extra","")</f>
        <v/>
      </c>
      <c r="Q7" s="114"/>
      <c r="R7" s="64" t="s">
        <v>127</v>
      </c>
      <c r="S7" s="159"/>
      <c r="T7" s="123">
        <f>IF(AND(KysymyksetTaulukko3[[#This Row],[Luokka + toimiala]]="Kuuluu",KysymyksetTaulukko3[[#This Row],[Vastaus]]="Kyllä"),1,0)</f>
        <v>0</v>
      </c>
      <c r="U7" s="121">
        <f>IF(AND(KysymyksetTaulukko3[[#This Row],[Maksimipisteet]]=1,NOT(ISBLANK(KysymyksetTaulukko3[[#This Row],[Vastaus]]))),1,0)</f>
        <v>0</v>
      </c>
      <c r="V7" s="123">
        <f>IF(OR(KysymyksetTaulukko3[[#This Row],[Luokka + toimiala]]="Ei kuulu",KysymyksetTaulukko3[[#This Row],[Vastaus]]="Ei koske",KysymyksetTaulukko3[[#This Row],[Luokka]]="Extra",KysymyksetTaulukko3[[#This Row],[Otsikkorivi]]="Kyllä"),0,1)</f>
        <v>0</v>
      </c>
    </row>
    <row r="8" spans="1:34" ht="28.5" x14ac:dyDescent="0.35">
      <c r="A8" s="3" t="s">
        <v>12</v>
      </c>
      <c r="B8" s="3" t="str">
        <f>IF(ISNUMBER(SEARCH("," &amp; LV!$B$10 &amp; ",", "," &amp; SUBSTITUTE(A8, " ", "")&amp; ",")),
  "Kuuluu",
  IF(AND(LV!$B$10&gt;=2,
      LV!$B$10&lt;=4,
      OR(ISNUMBER(SEARCH("," &amp;(LV!$B$10+1)&amp; ",", "," &amp; SUBSTITUTE(A8, " ", "")&amp; ",")),
        ISNUMBER(SEARCH("," &amp;(LV!$B$10+2)&amp; ",", "," &amp; SUBSTITUTE(A8, " ", "")&amp; ",")),
        ISNUMBER(SEARCH("," &amp;(LV!$B$10+3)&amp; ",", "," &amp; SUBSTITUTE(A8, " ", "")&amp; ",")),
        ISNUMBER(SEARCH("," &amp;(LV!$B$10+4)&amp; ",", "," &amp; SUBSTITUTE(A8, " ", "")&amp; ",")),
        ISNUMBER(SEARCH("," &amp;(LV!$B$10+5)&amp; ",", "," &amp; SUBSTITUTE(A8, " ", "")&amp; ",")))),
    "Extra",
    "Ei kuulu"))</f>
        <v>Ei kuulu</v>
      </c>
      <c r="C8" s="3" t="s">
        <v>129</v>
      </c>
      <c r="D8" s="3" t="str">
        <f>IF(ISNUMBER(SEARCH(LV!$I$5, Kestävä_ja_kehittyvä!C8)), "K", "E")</f>
        <v>E</v>
      </c>
      <c r="E8" s="3" t="str">
        <f>IF(ISNUMBER(SEARCH(LV!$I$6, Kestävä_ja_kehittyvä!$C8)), "K", "E")</f>
        <v>E</v>
      </c>
      <c r="F8" s="3" t="str">
        <f>IF(ISNUMBER(SEARCH(LV!$I$7, Kestävä_ja_kehittyvä!$C8)), "K", "E")</f>
        <v>E</v>
      </c>
      <c r="G8" s="3" t="str">
        <f>IF(ISNUMBER(SEARCH(LV!$I$8, Kestävä_ja_kehittyvä!$C8)), "K", "E")</f>
        <v>E</v>
      </c>
      <c r="H8" s="3" t="str">
        <f>IF(OR(KysymyksetTaulukko3[[#This Row],[Toimiala A]]="K",KysymyksetTaulukko3[[#This Row],[Toimiala B]]="K",KysymyksetTaulukko3[[#This Row],[Toimiala C]]="K",KysymyksetTaulukko3[[#This Row],[Toimiala D]]="K"),"Kuuluu","Ei kuulu")</f>
        <v>Ei kuulu</v>
      </c>
      <c r="I8" s="3" t="str">
        <f>IF(OR(KysymyksetTaulukko3[[#This Row],[Luokka]]="Ei kuulu",KysymyksetTaulukko3[[#This Row],[Toimiala-
kysymys]]="Ei kuulu"), "Ei kuulu", "Kuuluu")</f>
        <v>Ei kuulu</v>
      </c>
      <c r="J8" s="3" t="str">
        <f>IF(KysymyksetTaulukko3[[#This Row],[Luokka + toimiala]]="Kuuluu","a) Oman vesilaitoksen kysymykset","b) Muut kysymykset")</f>
        <v>b) Muut kysymykset</v>
      </c>
      <c r="K8" s="9" t="s">
        <v>123</v>
      </c>
      <c r="L8" s="9" t="s">
        <v>124</v>
      </c>
      <c r="M8" s="61" t="str">
        <f>LEFT(KysymyksetTaulukko3[[#This Row],[Alakategoria_]],2)</f>
        <v>9.</v>
      </c>
      <c r="N8" s="107" t="s">
        <v>11</v>
      </c>
      <c r="O8" s="70" t="s">
        <v>206</v>
      </c>
      <c r="P8" s="67" t="str">
        <f>IF(AND(KysymyksetTaulukko3[[#This Row],[Luokka]]="Extra",KysymyksetTaulukko3[[#This Row],[Luokka + toimiala]]="Kuuluu"),"Extra","")</f>
        <v/>
      </c>
      <c r="Q8" s="114"/>
      <c r="R8" s="64" t="s">
        <v>128</v>
      </c>
      <c r="S8" s="159"/>
      <c r="T8" s="123">
        <f>IF(AND(KysymyksetTaulukko3[[#This Row],[Luokka + toimiala]]="Kuuluu",KysymyksetTaulukko3[[#This Row],[Vastaus]]="Kyllä"),1,0)</f>
        <v>0</v>
      </c>
      <c r="U8" s="121">
        <f>IF(AND(KysymyksetTaulukko3[[#This Row],[Maksimipisteet]]=1,NOT(ISBLANK(KysymyksetTaulukko3[[#This Row],[Vastaus]]))),1,0)</f>
        <v>0</v>
      </c>
      <c r="V8" s="123">
        <f>IF(OR(KysymyksetTaulukko3[[#This Row],[Luokka + toimiala]]="Ei kuulu",KysymyksetTaulukko3[[#This Row],[Vastaus]]="Ei koske",KysymyksetTaulukko3[[#This Row],[Luokka]]="Extra",KysymyksetTaulukko3[[#This Row],[Otsikkorivi]]="Kyllä"),0,1)</f>
        <v>0</v>
      </c>
    </row>
    <row r="9" spans="1:34" ht="29" x14ac:dyDescent="0.35">
      <c r="A9" s="3" t="s">
        <v>12</v>
      </c>
      <c r="B9" s="3" t="str">
        <f>IF(ISNUMBER(SEARCH("," &amp; LV!$B$10 &amp; ",", "," &amp; SUBSTITUTE(A9, " ", "")&amp; ",")),
  "Kuuluu",
  IF(AND(LV!$B$10&gt;=2,
      LV!$B$10&lt;=4,
      OR(ISNUMBER(SEARCH("," &amp;(LV!$B$10+1)&amp; ",", "," &amp; SUBSTITUTE(A9, " ", "")&amp; ",")),
        ISNUMBER(SEARCH("," &amp;(LV!$B$10+2)&amp; ",", "," &amp; SUBSTITUTE(A9, " ", "")&amp; ",")),
        ISNUMBER(SEARCH("," &amp;(LV!$B$10+3)&amp; ",", "," &amp; SUBSTITUTE(A9, " ", "")&amp; ",")),
        ISNUMBER(SEARCH("," &amp;(LV!$B$10+4)&amp; ",", "," &amp; SUBSTITUTE(A9, " ", "")&amp; ",")),
        ISNUMBER(SEARCH("," &amp;(LV!$B$10+5)&amp; ",", "," &amp; SUBSTITUTE(A9, " ", "")&amp; ",")))),
    "Extra",
    "Ei kuulu"))</f>
        <v>Ei kuulu</v>
      </c>
      <c r="C9" s="3" t="s">
        <v>126</v>
      </c>
      <c r="D9" s="3" t="str">
        <f>IF(ISNUMBER(SEARCH(LV!$I$5, Kestävä_ja_kehittyvä!C9)), "K", "E")</f>
        <v>E</v>
      </c>
      <c r="E9" s="3" t="str">
        <f>IF(ISNUMBER(SEARCH(LV!$I$6, Kestävä_ja_kehittyvä!$C9)), "K", "E")</f>
        <v>E</v>
      </c>
      <c r="F9" s="3" t="str">
        <f>IF(ISNUMBER(SEARCH(LV!$I$7, Kestävä_ja_kehittyvä!$C9)), "K", "E")</f>
        <v>E</v>
      </c>
      <c r="G9" s="3" t="str">
        <f>IF(ISNUMBER(SEARCH(LV!$I$8, Kestävä_ja_kehittyvä!$C9)), "K", "E")</f>
        <v>E</v>
      </c>
      <c r="H9" s="3" t="str">
        <f>IF(OR(KysymyksetTaulukko3[[#This Row],[Toimiala A]]="K",KysymyksetTaulukko3[[#This Row],[Toimiala B]]="K",KysymyksetTaulukko3[[#This Row],[Toimiala C]]="K",KysymyksetTaulukko3[[#This Row],[Toimiala D]]="K"),"Kuuluu","Ei kuulu")</f>
        <v>Ei kuulu</v>
      </c>
      <c r="I9" s="3" t="str">
        <f>IF(OR(KysymyksetTaulukko3[[#This Row],[Luokka]]="Ei kuulu",KysymyksetTaulukko3[[#This Row],[Toimiala-
kysymys]]="Ei kuulu"), "Ei kuulu", "Kuuluu")</f>
        <v>Ei kuulu</v>
      </c>
      <c r="J9" s="3" t="str">
        <f>IF(KysymyksetTaulukko3[[#This Row],[Luokka + toimiala]]="Kuuluu","a) Oman vesilaitoksen kysymykset","b) Muut kysymykset")</f>
        <v>b) Muut kysymykset</v>
      </c>
      <c r="K9" s="9" t="s">
        <v>123</v>
      </c>
      <c r="L9" s="9" t="s">
        <v>124</v>
      </c>
      <c r="M9" s="61" t="str">
        <f>LEFT(KysymyksetTaulukko3[[#This Row],[Alakategoria_]],2)</f>
        <v>9.</v>
      </c>
      <c r="N9" s="107"/>
      <c r="O9" s="70" t="s">
        <v>222</v>
      </c>
      <c r="P9" s="67" t="str">
        <f>IF(AND(KysymyksetTaulukko3[[#This Row],[Luokka]]="Extra",KysymyksetTaulukko3[[#This Row],[Luokka + toimiala]]="Kuuluu"),"Extra","")</f>
        <v/>
      </c>
      <c r="Q9" s="114"/>
      <c r="R9" s="64" t="s">
        <v>130</v>
      </c>
      <c r="S9" s="159"/>
      <c r="T9" s="123">
        <f>IF(AND(KysymyksetTaulukko3[[#This Row],[Luokka + toimiala]]="Kuuluu",KysymyksetTaulukko3[[#This Row],[Vastaus]]="Kyllä"),1,0)</f>
        <v>0</v>
      </c>
      <c r="U9" s="121">
        <f>IF(AND(KysymyksetTaulukko3[[#This Row],[Maksimipisteet]]=1,NOT(ISBLANK(KysymyksetTaulukko3[[#This Row],[Vastaus]]))),1,0)</f>
        <v>0</v>
      </c>
      <c r="V9" s="123">
        <f>IF(OR(KysymyksetTaulukko3[[#This Row],[Luokka + toimiala]]="Ei kuulu",KysymyksetTaulukko3[[#This Row],[Vastaus]]="Ei koske",KysymyksetTaulukko3[[#This Row],[Luokka]]="Extra",KysymyksetTaulukko3[[#This Row],[Otsikkorivi]]="Kyllä"),0,1)</f>
        <v>0</v>
      </c>
    </row>
    <row r="10" spans="1:34" ht="28.5" x14ac:dyDescent="0.35">
      <c r="A10" s="3" t="s">
        <v>19</v>
      </c>
      <c r="B10" s="3" t="str">
        <f>IF(ISNUMBER(SEARCH("," &amp; LV!$B$10 &amp; ",", "," &amp; SUBSTITUTE(A10, " ", "")&amp; ",")),
  "Kuuluu",
  IF(AND(LV!$B$10&gt;=2,
      LV!$B$10&lt;=4,
      OR(ISNUMBER(SEARCH("," &amp;(LV!$B$10+1)&amp; ",", "," &amp; SUBSTITUTE(A10, " ", "")&amp; ",")),
        ISNUMBER(SEARCH("," &amp;(LV!$B$10+2)&amp; ",", "," &amp; SUBSTITUTE(A10, " ", "")&amp; ",")),
        ISNUMBER(SEARCH("," &amp;(LV!$B$10+3)&amp; ",", "," &amp; SUBSTITUTE(A10, " ", "")&amp; ",")),
        ISNUMBER(SEARCH("," &amp;(LV!$B$10+4)&amp; ",", "," &amp; SUBSTITUTE(A10, " ", "")&amp; ",")),
        ISNUMBER(SEARCH("," &amp;(LV!$B$10+5)&amp; ",", "," &amp; SUBSTITUTE(A10, " ", "")&amp; ",")))),
    "Extra",
    "Ei kuulu"))</f>
        <v>Ei kuulu</v>
      </c>
      <c r="C10" s="3" t="s">
        <v>126</v>
      </c>
      <c r="D10" s="3" t="str">
        <f>IF(ISNUMBER(SEARCH(LV!$I$5, Kestävä_ja_kehittyvä!C10)), "K", "E")</f>
        <v>E</v>
      </c>
      <c r="E10" s="3" t="str">
        <f>IF(ISNUMBER(SEARCH(LV!$I$6, Kestävä_ja_kehittyvä!$C10)), "K", "E")</f>
        <v>E</v>
      </c>
      <c r="F10" s="3" t="str">
        <f>IF(ISNUMBER(SEARCH(LV!$I$7, Kestävä_ja_kehittyvä!$C10)), "K", "E")</f>
        <v>E</v>
      </c>
      <c r="G10" s="3" t="str">
        <f>IF(ISNUMBER(SEARCH(LV!$I$8, Kestävä_ja_kehittyvä!$C10)), "K", "E")</f>
        <v>E</v>
      </c>
      <c r="H10" s="3" t="str">
        <f>IF(OR(KysymyksetTaulukko3[[#This Row],[Toimiala A]]="K",KysymyksetTaulukko3[[#This Row],[Toimiala B]]="K",KysymyksetTaulukko3[[#This Row],[Toimiala C]]="K",KysymyksetTaulukko3[[#This Row],[Toimiala D]]="K"),"Kuuluu","Ei kuulu")</f>
        <v>Ei kuulu</v>
      </c>
      <c r="I10" s="3" t="str">
        <f>IF(OR(KysymyksetTaulukko3[[#This Row],[Luokka]]="Ei kuulu",KysymyksetTaulukko3[[#This Row],[Toimiala-
kysymys]]="Ei kuulu"), "Ei kuulu", "Kuuluu")</f>
        <v>Ei kuulu</v>
      </c>
      <c r="J10" s="3" t="str">
        <f>IF(KysymyksetTaulukko3[[#This Row],[Luokka + toimiala]]="Kuuluu","a) Oman vesilaitoksen kysymykset","b) Muut kysymykset")</f>
        <v>b) Muut kysymykset</v>
      </c>
      <c r="K10" s="9" t="s">
        <v>123</v>
      </c>
      <c r="L10" s="9" t="s">
        <v>124</v>
      </c>
      <c r="M10" s="61" t="str">
        <f>LEFT(KysymyksetTaulukko3[[#This Row],[Alakategoria_]],2)</f>
        <v>9.</v>
      </c>
      <c r="N10" s="107" t="s">
        <v>11</v>
      </c>
      <c r="O10" s="70" t="s">
        <v>206</v>
      </c>
      <c r="P10" s="67" t="str">
        <f>IF(AND(KysymyksetTaulukko3[[#This Row],[Luokka]]="Extra",KysymyksetTaulukko3[[#This Row],[Luokka + toimiala]]="Kuuluu"),"Extra","")</f>
        <v/>
      </c>
      <c r="Q10" s="114"/>
      <c r="R10" s="64" t="s">
        <v>131</v>
      </c>
      <c r="S10" s="159"/>
      <c r="T10" s="123">
        <f>IF(AND(KysymyksetTaulukko3[[#This Row],[Luokka + toimiala]]="Kuuluu",KysymyksetTaulukko3[[#This Row],[Vastaus]]="Kyllä"),1,0)</f>
        <v>0</v>
      </c>
      <c r="U10" s="121">
        <f>IF(AND(KysymyksetTaulukko3[[#This Row],[Maksimipisteet]]=1,NOT(ISBLANK(KysymyksetTaulukko3[[#This Row],[Vastaus]]))),1,0)</f>
        <v>0</v>
      </c>
      <c r="V10" s="123">
        <f>IF(OR(KysymyksetTaulukko3[[#This Row],[Luokka + toimiala]]="Ei kuulu",KysymyksetTaulukko3[[#This Row],[Vastaus]]="Ei koske",KysymyksetTaulukko3[[#This Row],[Luokka]]="Extra",KysymyksetTaulukko3[[#This Row],[Otsikkorivi]]="Kyllä"),0,1)</f>
        <v>0</v>
      </c>
    </row>
    <row r="11" spans="1:34" ht="29" x14ac:dyDescent="0.35">
      <c r="A11" s="3">
        <v>3.4</v>
      </c>
      <c r="B11" s="3" t="str">
        <f>IF(ISNUMBER(SEARCH("," &amp; LV!$B$10 &amp; ",", "," &amp; SUBSTITUTE(A11, " ", "")&amp; ",")),
  "Kuuluu",
  IF(AND(LV!$B$10&gt;=2,
      LV!$B$10&lt;=4,
      OR(ISNUMBER(SEARCH("," &amp;(LV!$B$10+1)&amp; ",", "," &amp; SUBSTITUTE(A11, " ", "")&amp; ",")),
        ISNUMBER(SEARCH("," &amp;(LV!$B$10+2)&amp; ",", "," &amp; SUBSTITUTE(A11, " ", "")&amp; ",")),
        ISNUMBER(SEARCH("," &amp;(LV!$B$10+3)&amp; ",", "," &amp; SUBSTITUTE(A11, " ", "")&amp; ",")),
        ISNUMBER(SEARCH("," &amp;(LV!$B$10+4)&amp; ",", "," &amp; SUBSTITUTE(A11, " ", "")&amp; ",")),
        ISNUMBER(SEARCH("," &amp;(LV!$B$10+5)&amp; ",", "," &amp; SUBSTITUTE(A11, " ", "")&amp; ",")))),
    "Extra",
    "Ei kuulu"))</f>
        <v>Ei kuulu</v>
      </c>
      <c r="C11" s="3" t="s">
        <v>126</v>
      </c>
      <c r="D11" s="3" t="str">
        <f>IF(ISNUMBER(SEARCH(LV!$I$5, Kestävä_ja_kehittyvä!C11)), "K", "E")</f>
        <v>E</v>
      </c>
      <c r="E11" s="3" t="str">
        <f>IF(ISNUMBER(SEARCH(LV!$I$6, Kestävä_ja_kehittyvä!$C11)), "K", "E")</f>
        <v>E</v>
      </c>
      <c r="F11" s="3" t="str">
        <f>IF(ISNUMBER(SEARCH(LV!$I$7, Kestävä_ja_kehittyvä!$C11)), "K", "E")</f>
        <v>E</v>
      </c>
      <c r="G11" s="3" t="str">
        <f>IF(ISNUMBER(SEARCH(LV!$I$8, Kestävä_ja_kehittyvä!$C11)), "K", "E")</f>
        <v>E</v>
      </c>
      <c r="H11" s="3" t="str">
        <f>IF(OR(KysymyksetTaulukko3[[#This Row],[Toimiala A]]="K",KysymyksetTaulukko3[[#This Row],[Toimiala B]]="K",KysymyksetTaulukko3[[#This Row],[Toimiala C]]="K",KysymyksetTaulukko3[[#This Row],[Toimiala D]]="K"),"Kuuluu","Ei kuulu")</f>
        <v>Ei kuulu</v>
      </c>
      <c r="I11" s="3" t="str">
        <f>IF(OR(KysymyksetTaulukko3[[#This Row],[Luokka]]="Ei kuulu",KysymyksetTaulukko3[[#This Row],[Toimiala-
kysymys]]="Ei kuulu"), "Ei kuulu", "Kuuluu")</f>
        <v>Ei kuulu</v>
      </c>
      <c r="J11" s="3" t="str">
        <f>IF(KysymyksetTaulukko3[[#This Row],[Luokka + toimiala]]="Kuuluu","a) Oman vesilaitoksen kysymykset","b) Muut kysymykset")</f>
        <v>b) Muut kysymykset</v>
      </c>
      <c r="K11" s="9" t="s">
        <v>123</v>
      </c>
      <c r="L11" s="9" t="s">
        <v>124</v>
      </c>
      <c r="M11" s="61" t="str">
        <f>LEFT(KysymyksetTaulukko3[[#This Row],[Alakategoria_]],2)</f>
        <v>9.</v>
      </c>
      <c r="N11" s="107"/>
      <c r="O11" s="70" t="s">
        <v>222</v>
      </c>
      <c r="P11" s="67" t="str">
        <f>IF(AND(KysymyksetTaulukko3[[#This Row],[Luokka]]="Extra",KysymyksetTaulukko3[[#This Row],[Luokka + toimiala]]="Kuuluu"),"Extra","")</f>
        <v/>
      </c>
      <c r="Q11" s="114"/>
      <c r="R11" s="64" t="s">
        <v>132</v>
      </c>
      <c r="S11" s="159"/>
      <c r="T11" s="123">
        <f>IF(AND(KysymyksetTaulukko3[[#This Row],[Luokka + toimiala]]="Kuuluu",KysymyksetTaulukko3[[#This Row],[Vastaus]]="Kyllä"),1,0)</f>
        <v>0</v>
      </c>
      <c r="U11" s="121">
        <f>IF(AND(KysymyksetTaulukko3[[#This Row],[Maksimipisteet]]=1,NOT(ISBLANK(KysymyksetTaulukko3[[#This Row],[Vastaus]]))),1,0)</f>
        <v>0</v>
      </c>
      <c r="V11" s="123">
        <f>IF(OR(KysymyksetTaulukko3[[#This Row],[Luokka + toimiala]]="Ei kuulu",KysymyksetTaulukko3[[#This Row],[Vastaus]]="Ei koske",KysymyksetTaulukko3[[#This Row],[Luokka]]="Extra",KysymyksetTaulukko3[[#This Row],[Otsikkorivi]]="Kyllä"),0,1)</f>
        <v>0</v>
      </c>
    </row>
    <row r="12" spans="1:34" ht="29" x14ac:dyDescent="0.35">
      <c r="A12" s="3">
        <v>3.4</v>
      </c>
      <c r="B12" s="3" t="str">
        <f>IF(ISNUMBER(SEARCH("," &amp; LV!$B$10 &amp; ",", "," &amp; SUBSTITUTE(A12, " ", "")&amp; ",")),
  "Kuuluu",
  IF(AND(LV!$B$10&gt;=2,
      LV!$B$10&lt;=4,
      OR(ISNUMBER(SEARCH("," &amp;(LV!$B$10+1)&amp; ",", "," &amp; SUBSTITUTE(A12, " ", "")&amp; ",")),
        ISNUMBER(SEARCH("," &amp;(LV!$B$10+2)&amp; ",", "," &amp; SUBSTITUTE(A12, " ", "")&amp; ",")),
        ISNUMBER(SEARCH("," &amp;(LV!$B$10+3)&amp; ",", "," &amp; SUBSTITUTE(A12, " ", "")&amp; ",")),
        ISNUMBER(SEARCH("," &amp;(LV!$B$10+4)&amp; ",", "," &amp; SUBSTITUTE(A12, " ", "")&amp; ",")),
        ISNUMBER(SEARCH("," &amp;(LV!$B$10+5)&amp; ",", "," &amp; SUBSTITUTE(A12, " ", "")&amp; ",")))),
    "Extra",
    "Ei kuulu"))</f>
        <v>Ei kuulu</v>
      </c>
      <c r="C12" s="3" t="s">
        <v>126</v>
      </c>
      <c r="D12" s="3" t="str">
        <f>IF(ISNUMBER(SEARCH(LV!$I$5, Kestävä_ja_kehittyvä!C12)), "K", "E")</f>
        <v>E</v>
      </c>
      <c r="E12" s="3" t="str">
        <f>IF(ISNUMBER(SEARCH(LV!$I$6, Kestävä_ja_kehittyvä!$C12)), "K", "E")</f>
        <v>E</v>
      </c>
      <c r="F12" s="3" t="str">
        <f>IF(ISNUMBER(SEARCH(LV!$I$7, Kestävä_ja_kehittyvä!$C12)), "K", "E")</f>
        <v>E</v>
      </c>
      <c r="G12" s="3" t="str">
        <f>IF(ISNUMBER(SEARCH(LV!$I$8, Kestävä_ja_kehittyvä!$C12)), "K", "E")</f>
        <v>E</v>
      </c>
      <c r="H12" s="3" t="str">
        <f>IF(OR(KysymyksetTaulukko3[[#This Row],[Toimiala A]]="K",KysymyksetTaulukko3[[#This Row],[Toimiala B]]="K",KysymyksetTaulukko3[[#This Row],[Toimiala C]]="K",KysymyksetTaulukko3[[#This Row],[Toimiala D]]="K"),"Kuuluu","Ei kuulu")</f>
        <v>Ei kuulu</v>
      </c>
      <c r="I12" s="3" t="str">
        <f>IF(OR(KysymyksetTaulukko3[[#This Row],[Luokka]]="Ei kuulu",KysymyksetTaulukko3[[#This Row],[Toimiala-
kysymys]]="Ei kuulu"), "Ei kuulu", "Kuuluu")</f>
        <v>Ei kuulu</v>
      </c>
      <c r="J12" s="3" t="str">
        <f>IF(KysymyksetTaulukko3[[#This Row],[Luokka + toimiala]]="Kuuluu","a) Oman vesilaitoksen kysymykset","b) Muut kysymykset")</f>
        <v>b) Muut kysymykset</v>
      </c>
      <c r="K12" s="9" t="s">
        <v>123</v>
      </c>
      <c r="L12" s="9" t="s">
        <v>124</v>
      </c>
      <c r="M12" s="61" t="str">
        <f>LEFT(KysymyksetTaulukko3[[#This Row],[Alakategoria_]],2)</f>
        <v>9.</v>
      </c>
      <c r="N12" s="107"/>
      <c r="O12" s="70" t="s">
        <v>222</v>
      </c>
      <c r="P12" s="67" t="str">
        <f>IF(AND(KysymyksetTaulukko3[[#This Row],[Luokka]]="Extra",KysymyksetTaulukko3[[#This Row],[Luokka + toimiala]]="Kuuluu"),"Extra","")</f>
        <v/>
      </c>
      <c r="Q12" s="114"/>
      <c r="R12" s="64" t="s">
        <v>133</v>
      </c>
      <c r="S12" s="159"/>
      <c r="T12" s="123">
        <f>IF(AND(KysymyksetTaulukko3[[#This Row],[Luokka + toimiala]]="Kuuluu",KysymyksetTaulukko3[[#This Row],[Vastaus]]="Kyllä"),1,0)</f>
        <v>0</v>
      </c>
      <c r="U12" s="121">
        <f>IF(AND(KysymyksetTaulukko3[[#This Row],[Maksimipisteet]]=1,NOT(ISBLANK(KysymyksetTaulukko3[[#This Row],[Vastaus]]))),1,0)</f>
        <v>0</v>
      </c>
      <c r="V12" s="123">
        <f>IF(OR(KysymyksetTaulukko3[[#This Row],[Luokka + toimiala]]="Ei kuulu",KysymyksetTaulukko3[[#This Row],[Vastaus]]="Ei koske",KysymyksetTaulukko3[[#This Row],[Luokka]]="Extra",KysymyksetTaulukko3[[#This Row],[Otsikkorivi]]="Kyllä"),0,1)</f>
        <v>0</v>
      </c>
    </row>
    <row r="13" spans="1:34" ht="28.5" x14ac:dyDescent="0.35">
      <c r="A13" s="3">
        <v>3.4</v>
      </c>
      <c r="B13" s="3" t="str">
        <f>IF(ISNUMBER(SEARCH("," &amp; LV!$B$10 &amp; ",", "," &amp; SUBSTITUTE(A13, " ", "")&amp; ",")),
  "Kuuluu",
  IF(AND(LV!$B$10&gt;=2,
      LV!$B$10&lt;=4,
      OR(ISNUMBER(SEARCH("," &amp;(LV!$B$10+1)&amp; ",", "," &amp; SUBSTITUTE(A13, " ", "")&amp; ",")),
        ISNUMBER(SEARCH("," &amp;(LV!$B$10+2)&amp; ",", "," &amp; SUBSTITUTE(A13, " ", "")&amp; ",")),
        ISNUMBER(SEARCH("," &amp;(LV!$B$10+3)&amp; ",", "," &amp; SUBSTITUTE(A13, " ", "")&amp; ",")),
        ISNUMBER(SEARCH("," &amp;(LV!$B$10+4)&amp; ",", "," &amp; SUBSTITUTE(A13, " ", "")&amp; ",")),
        ISNUMBER(SEARCH("," &amp;(LV!$B$10+5)&amp; ",", "," &amp; SUBSTITUTE(A13, " ", "")&amp; ",")))),
    "Extra",
    "Ei kuulu"))</f>
        <v>Ei kuulu</v>
      </c>
      <c r="C13" s="3" t="s">
        <v>129</v>
      </c>
      <c r="D13" s="3" t="str">
        <f>IF(ISNUMBER(SEARCH(LV!$I$5, Kestävä_ja_kehittyvä!C13)), "K", "E")</f>
        <v>E</v>
      </c>
      <c r="E13" s="3" t="str">
        <f>IF(ISNUMBER(SEARCH(LV!$I$6, Kestävä_ja_kehittyvä!$C13)), "K", "E")</f>
        <v>E</v>
      </c>
      <c r="F13" s="3" t="str">
        <f>IF(ISNUMBER(SEARCH(LV!$I$7, Kestävä_ja_kehittyvä!$C13)), "K", "E")</f>
        <v>E</v>
      </c>
      <c r="G13" s="3" t="str">
        <f>IF(ISNUMBER(SEARCH(LV!$I$8, Kestävä_ja_kehittyvä!$C13)), "K", "E")</f>
        <v>E</v>
      </c>
      <c r="H13" s="3" t="str">
        <f>IF(OR(KysymyksetTaulukko3[[#This Row],[Toimiala A]]="K",KysymyksetTaulukko3[[#This Row],[Toimiala B]]="K",KysymyksetTaulukko3[[#This Row],[Toimiala C]]="K",KysymyksetTaulukko3[[#This Row],[Toimiala D]]="K"),"Kuuluu","Ei kuulu")</f>
        <v>Ei kuulu</v>
      </c>
      <c r="I13" s="3" t="str">
        <f>IF(OR(KysymyksetTaulukko3[[#This Row],[Luokka]]="Ei kuulu",KysymyksetTaulukko3[[#This Row],[Toimiala-
kysymys]]="Ei kuulu"), "Ei kuulu", "Kuuluu")</f>
        <v>Ei kuulu</v>
      </c>
      <c r="J13" s="3" t="str">
        <f>IF(KysymyksetTaulukko3[[#This Row],[Luokka + toimiala]]="Kuuluu","a) Oman vesilaitoksen kysymykset","b) Muut kysymykset")</f>
        <v>b) Muut kysymykset</v>
      </c>
      <c r="K13" s="9" t="s">
        <v>123</v>
      </c>
      <c r="L13" s="9" t="s">
        <v>124</v>
      </c>
      <c r="M13" s="61" t="str">
        <f>LEFT(KysymyksetTaulukko3[[#This Row],[Alakategoria_]],2)</f>
        <v>9.</v>
      </c>
      <c r="N13" s="107"/>
      <c r="O13" s="70" t="s">
        <v>222</v>
      </c>
      <c r="P13" s="67" t="str">
        <f>IF(AND(KysymyksetTaulukko3[[#This Row],[Luokka]]="Extra",KysymyksetTaulukko3[[#This Row],[Luokka + toimiala]]="Kuuluu"),"Extra","")</f>
        <v/>
      </c>
      <c r="Q13" s="114"/>
      <c r="R13" s="64" t="s">
        <v>134</v>
      </c>
      <c r="S13" s="159"/>
      <c r="T13" s="123">
        <f>IF(AND(KysymyksetTaulukko3[[#This Row],[Luokka + toimiala]]="Kuuluu",KysymyksetTaulukko3[[#This Row],[Vastaus]]="Kyllä"),1,0)</f>
        <v>0</v>
      </c>
      <c r="U13" s="121">
        <f>IF(AND(KysymyksetTaulukko3[[#This Row],[Maksimipisteet]]=1,NOT(ISBLANK(KysymyksetTaulukko3[[#This Row],[Vastaus]]))),1,0)</f>
        <v>0</v>
      </c>
      <c r="V13" s="123">
        <f>IF(OR(KysymyksetTaulukko3[[#This Row],[Luokka + toimiala]]="Ei kuulu",KysymyksetTaulukko3[[#This Row],[Vastaus]]="Ei koske",KysymyksetTaulukko3[[#This Row],[Luokka]]="Extra",KysymyksetTaulukko3[[#This Row],[Otsikkorivi]]="Kyllä"),0,1)</f>
        <v>0</v>
      </c>
    </row>
    <row r="14" spans="1:34" ht="28.5" x14ac:dyDescent="0.35">
      <c r="A14" s="3" t="s">
        <v>6</v>
      </c>
      <c r="B14" s="3" t="str">
        <f>IF(ISNUMBER(SEARCH("," &amp; LV!$B$10 &amp; ",", "," &amp; SUBSTITUTE(A14, " ", "")&amp; ",")),
  "Kuuluu",
  IF(AND(LV!$B$10&gt;=2,
      LV!$B$10&lt;=4,
      OR(ISNUMBER(SEARCH("," &amp;(LV!$B$10+1)&amp; ",", "," &amp; SUBSTITUTE(A14, " ", "")&amp; ",")),
        ISNUMBER(SEARCH("," &amp;(LV!$B$10+2)&amp; ",", "," &amp; SUBSTITUTE(A14, " ", "")&amp; ",")),
        ISNUMBER(SEARCH("," &amp;(LV!$B$10+3)&amp; ",", "," &amp; SUBSTITUTE(A14, " ", "")&amp; ",")),
        ISNUMBER(SEARCH("," &amp;(LV!$B$10+4)&amp; ",", "," &amp; SUBSTITUTE(A14, " ", "")&amp; ",")),
        ISNUMBER(SEARCH("," &amp;(LV!$B$10+5)&amp; ",", "," &amp; SUBSTITUTE(A14, " ", "")&amp; ",")))),
    "Extra",
    "Ei kuulu"))</f>
        <v>Ei kuulu</v>
      </c>
      <c r="C14" s="3" t="s">
        <v>28</v>
      </c>
      <c r="D14" s="3" t="str">
        <f>IF(ISNUMBER(SEARCH(LV!$I$5, Kestävä_ja_kehittyvä!C14)), "K", "E")</f>
        <v>E</v>
      </c>
      <c r="E14" s="3" t="str">
        <f>IF(ISNUMBER(SEARCH(LV!$I$6, Kestävä_ja_kehittyvä!$C14)), "K", "E")</f>
        <v>E</v>
      </c>
      <c r="F14" s="3" t="str">
        <f>IF(ISNUMBER(SEARCH(LV!$I$7, Kestävä_ja_kehittyvä!$C14)), "K", "E")</f>
        <v>E</v>
      </c>
      <c r="G14" s="3" t="str">
        <f>IF(ISNUMBER(SEARCH(LV!$I$8, Kestävä_ja_kehittyvä!$C14)), "K", "E")</f>
        <v>E</v>
      </c>
      <c r="H14" s="3" t="str">
        <f>IF(OR(KysymyksetTaulukko3[[#This Row],[Toimiala A]]="K",KysymyksetTaulukko3[[#This Row],[Toimiala B]]="K",KysymyksetTaulukko3[[#This Row],[Toimiala C]]="K",KysymyksetTaulukko3[[#This Row],[Toimiala D]]="K"),"Kuuluu","Ei kuulu")</f>
        <v>Ei kuulu</v>
      </c>
      <c r="I14" s="3" t="str">
        <f>IF(OR(KysymyksetTaulukko3[[#This Row],[Luokka]]="Ei kuulu",KysymyksetTaulukko3[[#This Row],[Toimiala-
kysymys]]="Ei kuulu"), "Ei kuulu", "Kuuluu")</f>
        <v>Ei kuulu</v>
      </c>
      <c r="J14" s="3" t="str">
        <f>IF(KysymyksetTaulukko3[[#This Row],[Luokka + toimiala]]="Kuuluu","a) Oman vesilaitoksen kysymykset","b) Muut kysymykset")</f>
        <v>b) Muut kysymykset</v>
      </c>
      <c r="K14" s="9" t="s">
        <v>123</v>
      </c>
      <c r="L14" s="126" t="s">
        <v>241</v>
      </c>
      <c r="M14" s="61" t="str">
        <f>LEFT(KysymyksetTaulukko3[[#This Row],[Alakategoria_]],2)</f>
        <v>_O</v>
      </c>
      <c r="N14" s="107"/>
      <c r="O14" s="70"/>
      <c r="P14" s="67" t="str">
        <f>IF(AND(KysymyksetTaulukko3[[#This Row],[Luokka]]="Extra",KysymyksetTaulukko3[[#This Row],[Luokka + toimiala]]="Kuuluu"),"Extra","")</f>
        <v/>
      </c>
      <c r="Q14" s="114" t="s">
        <v>177</v>
      </c>
      <c r="R14" s="128" t="s">
        <v>135</v>
      </c>
      <c r="S14" s="158"/>
      <c r="T14" s="123">
        <f>IF(AND(KysymyksetTaulukko3[[#This Row],[Luokka + toimiala]]="Kuuluu",KysymyksetTaulukko3[[#This Row],[Vastaus]]="Kyllä"),1,0)</f>
        <v>0</v>
      </c>
      <c r="U14" s="121">
        <f>IF(AND(KysymyksetTaulukko3[[#This Row],[Maksimipisteet]]=1,NOT(ISBLANK(KysymyksetTaulukko3[[#This Row],[Vastaus]]))),1,0)</f>
        <v>0</v>
      </c>
      <c r="V14" s="123">
        <f>IF(OR(KysymyksetTaulukko3[[#This Row],[Luokka + toimiala]]="Ei kuulu",KysymyksetTaulukko3[[#This Row],[Vastaus]]="Ei koske",KysymyksetTaulukko3[[#This Row],[Luokka]]="Extra",KysymyksetTaulukko3[[#This Row],[Otsikkorivi]]="Kyllä"),0,1)</f>
        <v>0</v>
      </c>
    </row>
    <row r="15" spans="1:34" s="1" customFormat="1" ht="28.5" x14ac:dyDescent="0.35">
      <c r="A15" s="3">
        <v>1</v>
      </c>
      <c r="B15" s="3" t="str">
        <f>IF(ISNUMBER(SEARCH("," &amp; LV!$B$10 &amp; ",", "," &amp; SUBSTITUTE(A15, " ", "")&amp; ",")),
  "Kuuluu",
  IF(AND(LV!$B$10&gt;=2,
      LV!$B$10&lt;=4,
      OR(ISNUMBER(SEARCH("," &amp;(LV!$B$10+1)&amp; ",", "," &amp; SUBSTITUTE(A15, " ", "")&amp; ",")),
        ISNUMBER(SEARCH("," &amp;(LV!$B$10+2)&amp; ",", "," &amp; SUBSTITUTE(A15, " ", "")&amp; ",")),
        ISNUMBER(SEARCH("," &amp;(LV!$B$10+3)&amp; ",", "," &amp; SUBSTITUTE(A15, " ", "")&amp; ",")),
        ISNUMBER(SEARCH("," &amp;(LV!$B$10+4)&amp; ",", "," &amp; SUBSTITUTE(A15, " ", "")&amp; ",")),
        ISNUMBER(SEARCH("," &amp;(LV!$B$10+5)&amp; ",", "," &amp; SUBSTITUTE(A15, " ", "")&amp; ",")))),
    "Extra",
    "Ei kuulu"))</f>
        <v>Ei kuulu</v>
      </c>
      <c r="C15" s="3" t="s">
        <v>28</v>
      </c>
      <c r="D15" s="3" t="str">
        <f>IF(ISNUMBER(SEARCH(LV!$I$5, Kestävä_ja_kehittyvä!C15)), "K", "E")</f>
        <v>E</v>
      </c>
      <c r="E15" s="3" t="str">
        <f>IF(ISNUMBER(SEARCH(LV!$I$6, Kestävä_ja_kehittyvä!$C15)), "K", "E")</f>
        <v>E</v>
      </c>
      <c r="F15" s="3" t="str">
        <f>IF(ISNUMBER(SEARCH(LV!$I$7, Kestävä_ja_kehittyvä!$C15)), "K", "E")</f>
        <v>E</v>
      </c>
      <c r="G15" s="3" t="str">
        <f>IF(ISNUMBER(SEARCH(LV!$I$8, Kestävä_ja_kehittyvä!$C15)), "K", "E")</f>
        <v>E</v>
      </c>
      <c r="H15" s="3" t="str">
        <f>IF(OR(KysymyksetTaulukko3[[#This Row],[Toimiala A]]="K",KysymyksetTaulukko3[[#This Row],[Toimiala B]]="K",KysymyksetTaulukko3[[#This Row],[Toimiala C]]="K",KysymyksetTaulukko3[[#This Row],[Toimiala D]]="K"),"Kuuluu","Ei kuulu")</f>
        <v>Ei kuulu</v>
      </c>
      <c r="I15" s="3" t="str">
        <f>IF(OR(KysymyksetTaulukko3[[#This Row],[Luokka]]="Ei kuulu",KysymyksetTaulukko3[[#This Row],[Toimiala-
kysymys]]="Ei kuulu"), "Ei kuulu", "Kuuluu")</f>
        <v>Ei kuulu</v>
      </c>
      <c r="J15" s="3" t="str">
        <f>IF(KysymyksetTaulukko3[[#This Row],[Luokka + toimiala]]="Kuuluu","a) Oman vesilaitoksen kysymykset","b) Muut kysymykset")</f>
        <v>b) Muut kysymykset</v>
      </c>
      <c r="K15" s="9" t="s">
        <v>123</v>
      </c>
      <c r="L15" s="126" t="s">
        <v>135</v>
      </c>
      <c r="M15" s="61" t="str">
        <f>LEFT(KysymyksetTaulukko3[[#This Row],[Alakategoria_]],2)</f>
        <v>10</v>
      </c>
      <c r="N15" s="107"/>
      <c r="O15" s="70" t="s">
        <v>222</v>
      </c>
      <c r="P15" s="67" t="str">
        <f>IF(AND(KysymyksetTaulukko3[[#This Row],[Luokka]]="Extra",KysymyksetTaulukko3[[#This Row],[Luokka + toimiala]]="Kuuluu"),"Extra","")</f>
        <v/>
      </c>
      <c r="Q15" s="114"/>
      <c r="R15" s="64" t="s">
        <v>136</v>
      </c>
      <c r="S15" s="159"/>
      <c r="T15" s="123">
        <f>IF(AND(KysymyksetTaulukko3[[#This Row],[Luokka + toimiala]]="Kuuluu",KysymyksetTaulukko3[[#This Row],[Vastaus]]="Kyllä"),1,0)</f>
        <v>0</v>
      </c>
      <c r="U15" s="121">
        <f>IF(AND(KysymyksetTaulukko3[[#This Row],[Maksimipisteet]]=1,NOT(ISBLANK(KysymyksetTaulukko3[[#This Row],[Vastaus]]))),1,0)</f>
        <v>0</v>
      </c>
      <c r="V15" s="123">
        <f>IF(OR(KysymyksetTaulukko3[[#This Row],[Luokka + toimiala]]="Ei kuulu",KysymyksetTaulukko3[[#This Row],[Vastaus]]="Ei koske",KysymyksetTaulukko3[[#This Row],[Luokka]]="Extra",KysymyksetTaulukko3[[#This Row],[Otsikkorivi]]="Kyllä"),0,1)</f>
        <v>0</v>
      </c>
    </row>
    <row r="16" spans="1:34" ht="29" x14ac:dyDescent="0.35">
      <c r="A16" s="3" t="s">
        <v>19</v>
      </c>
      <c r="B16" s="3" t="str">
        <f>IF(ISNUMBER(SEARCH("," &amp; LV!$B$10 &amp; ",", "," &amp; SUBSTITUTE(A16, " ", "")&amp; ",")),
  "Kuuluu",
  IF(AND(LV!$B$10&gt;=2,
      LV!$B$10&lt;=4,
      OR(ISNUMBER(SEARCH("," &amp;(LV!$B$10+1)&amp; ",", "," &amp; SUBSTITUTE(A16, " ", "")&amp; ",")),
        ISNUMBER(SEARCH("," &amp;(LV!$B$10+2)&amp; ",", "," &amp; SUBSTITUTE(A16, " ", "")&amp; ",")),
        ISNUMBER(SEARCH("," &amp;(LV!$B$10+3)&amp; ",", "," &amp; SUBSTITUTE(A16, " ", "")&amp; ",")),
        ISNUMBER(SEARCH("," &amp;(LV!$B$10+4)&amp; ",", "," &amp; SUBSTITUTE(A16, " ", "")&amp; ",")),
        ISNUMBER(SEARCH("," &amp;(LV!$B$10+5)&amp; ",", "," &amp; SUBSTITUTE(A16, " ", "")&amp; ",")))),
    "Extra",
    "Ei kuulu"))</f>
        <v>Ei kuulu</v>
      </c>
      <c r="C16" s="3" t="s">
        <v>28</v>
      </c>
      <c r="D16" s="3" t="str">
        <f>IF(ISNUMBER(SEARCH(LV!$I$5, Kestävä_ja_kehittyvä!C16)), "K", "E")</f>
        <v>E</v>
      </c>
      <c r="E16" s="3" t="str">
        <f>IF(ISNUMBER(SEARCH(LV!$I$6, Kestävä_ja_kehittyvä!$C16)), "K", "E")</f>
        <v>E</v>
      </c>
      <c r="F16" s="3" t="str">
        <f>IF(ISNUMBER(SEARCH(LV!$I$7, Kestävä_ja_kehittyvä!$C16)), "K", "E")</f>
        <v>E</v>
      </c>
      <c r="G16" s="3" t="str">
        <f>IF(ISNUMBER(SEARCH(LV!$I$8, Kestävä_ja_kehittyvä!$C16)), "K", "E")</f>
        <v>E</v>
      </c>
      <c r="H16" s="3" t="str">
        <f>IF(OR(KysymyksetTaulukko3[[#This Row],[Toimiala A]]="K",KysymyksetTaulukko3[[#This Row],[Toimiala B]]="K",KysymyksetTaulukko3[[#This Row],[Toimiala C]]="K",KysymyksetTaulukko3[[#This Row],[Toimiala D]]="K"),"Kuuluu","Ei kuulu")</f>
        <v>Ei kuulu</v>
      </c>
      <c r="I16" s="3" t="str">
        <f>IF(OR(KysymyksetTaulukko3[[#This Row],[Luokka]]="Ei kuulu",KysymyksetTaulukko3[[#This Row],[Toimiala-
kysymys]]="Ei kuulu"), "Ei kuulu", "Kuuluu")</f>
        <v>Ei kuulu</v>
      </c>
      <c r="J16" s="3" t="str">
        <f>IF(KysymyksetTaulukko3[[#This Row],[Luokka + toimiala]]="Kuuluu","a) Oman vesilaitoksen kysymykset","b) Muut kysymykset")</f>
        <v>b) Muut kysymykset</v>
      </c>
      <c r="K16" s="9" t="s">
        <v>123</v>
      </c>
      <c r="L16" s="126" t="s">
        <v>135</v>
      </c>
      <c r="M16" s="61" t="str">
        <f>LEFT(KysymyksetTaulukko3[[#This Row],[Alakategoria_]],2)</f>
        <v>10</v>
      </c>
      <c r="N16" s="107"/>
      <c r="O16" s="70" t="s">
        <v>222</v>
      </c>
      <c r="P16" s="67" t="str">
        <f>IF(AND(KysymyksetTaulukko3[[#This Row],[Luokka]]="Extra",KysymyksetTaulukko3[[#This Row],[Luokka + toimiala]]="Kuuluu"),"Extra","")</f>
        <v/>
      </c>
      <c r="Q16" s="114"/>
      <c r="R16" s="64" t="s">
        <v>137</v>
      </c>
      <c r="S16" s="159"/>
      <c r="T16" s="123">
        <f>IF(AND(KysymyksetTaulukko3[[#This Row],[Luokka + toimiala]]="Kuuluu",KysymyksetTaulukko3[[#This Row],[Vastaus]]="Kyllä"),1,0)</f>
        <v>0</v>
      </c>
      <c r="U16" s="121">
        <f>IF(AND(KysymyksetTaulukko3[[#This Row],[Maksimipisteet]]=1,NOT(ISBLANK(KysymyksetTaulukko3[[#This Row],[Vastaus]]))),1,0)</f>
        <v>0</v>
      </c>
      <c r="V16" s="123">
        <f>IF(OR(KysymyksetTaulukko3[[#This Row],[Luokka + toimiala]]="Ei kuulu",KysymyksetTaulukko3[[#This Row],[Vastaus]]="Ei koske",KysymyksetTaulukko3[[#This Row],[Luokka]]="Extra",KysymyksetTaulukko3[[#This Row],[Otsikkorivi]]="Kyllä"),0,1)</f>
        <v>0</v>
      </c>
    </row>
    <row r="17" spans="1:22" ht="29" x14ac:dyDescent="0.35">
      <c r="A17" s="3" t="s">
        <v>12</v>
      </c>
      <c r="B17" s="3" t="str">
        <f>IF(ISNUMBER(SEARCH("," &amp; LV!$B$10 &amp; ",", "," &amp; SUBSTITUTE(A17, " ", "")&amp; ",")),
  "Kuuluu",
  IF(AND(LV!$B$10&gt;=2,
      LV!$B$10&lt;=4,
      OR(ISNUMBER(SEARCH("," &amp;(LV!$B$10+1)&amp; ",", "," &amp; SUBSTITUTE(A17, " ", "")&amp; ",")),
        ISNUMBER(SEARCH("," &amp;(LV!$B$10+2)&amp; ",", "," &amp; SUBSTITUTE(A17, " ", "")&amp; ",")),
        ISNUMBER(SEARCH("," &amp;(LV!$B$10+3)&amp; ",", "," &amp; SUBSTITUTE(A17, " ", "")&amp; ",")),
        ISNUMBER(SEARCH("," &amp;(LV!$B$10+4)&amp; ",", "," &amp; SUBSTITUTE(A17, " ", "")&amp; ",")),
        ISNUMBER(SEARCH("," &amp;(LV!$B$10+5)&amp; ",", "," &amp; SUBSTITUTE(A17, " ", "")&amp; ",")))),
    "Extra",
    "Ei kuulu"))</f>
        <v>Ei kuulu</v>
      </c>
      <c r="C17" s="3" t="s">
        <v>28</v>
      </c>
      <c r="D17" s="3" t="str">
        <f>IF(ISNUMBER(SEARCH(LV!$I$5, Kestävä_ja_kehittyvä!C17)), "K", "E")</f>
        <v>E</v>
      </c>
      <c r="E17" s="3" t="str">
        <f>IF(ISNUMBER(SEARCH(LV!$I$6, Kestävä_ja_kehittyvä!$C17)), "K", "E")</f>
        <v>E</v>
      </c>
      <c r="F17" s="3" t="str">
        <f>IF(ISNUMBER(SEARCH(LV!$I$7, Kestävä_ja_kehittyvä!$C17)), "K", "E")</f>
        <v>E</v>
      </c>
      <c r="G17" s="3" t="str">
        <f>IF(ISNUMBER(SEARCH(LV!$I$8, Kestävä_ja_kehittyvä!$C17)), "K", "E")</f>
        <v>E</v>
      </c>
      <c r="H17" s="3" t="str">
        <f>IF(OR(KysymyksetTaulukko3[[#This Row],[Toimiala A]]="K",KysymyksetTaulukko3[[#This Row],[Toimiala B]]="K",KysymyksetTaulukko3[[#This Row],[Toimiala C]]="K",KysymyksetTaulukko3[[#This Row],[Toimiala D]]="K"),"Kuuluu","Ei kuulu")</f>
        <v>Ei kuulu</v>
      </c>
      <c r="I17" s="3" t="str">
        <f>IF(OR(KysymyksetTaulukko3[[#This Row],[Luokka]]="Ei kuulu",KysymyksetTaulukko3[[#This Row],[Toimiala-
kysymys]]="Ei kuulu"), "Ei kuulu", "Kuuluu")</f>
        <v>Ei kuulu</v>
      </c>
      <c r="J17" s="3" t="str">
        <f>IF(KysymyksetTaulukko3[[#This Row],[Luokka + toimiala]]="Kuuluu","a) Oman vesilaitoksen kysymykset","b) Muut kysymykset")</f>
        <v>b) Muut kysymykset</v>
      </c>
      <c r="K17" s="9" t="s">
        <v>123</v>
      </c>
      <c r="L17" s="126" t="s">
        <v>135</v>
      </c>
      <c r="M17" s="61" t="str">
        <f>LEFT(KysymyksetTaulukko3[[#This Row],[Alakategoria_]],2)</f>
        <v>10</v>
      </c>
      <c r="N17" s="107"/>
      <c r="O17" s="70" t="s">
        <v>222</v>
      </c>
      <c r="P17" s="67" t="str">
        <f>IF(AND(KysymyksetTaulukko3[[#This Row],[Luokka]]="Extra",KysymyksetTaulukko3[[#This Row],[Luokka + toimiala]]="Kuuluu"),"Extra","")</f>
        <v/>
      </c>
      <c r="Q17" s="114"/>
      <c r="R17" s="64" t="s">
        <v>138</v>
      </c>
      <c r="S17" s="159"/>
      <c r="T17" s="123">
        <f>IF(AND(KysymyksetTaulukko3[[#This Row],[Luokka + toimiala]]="Kuuluu",KysymyksetTaulukko3[[#This Row],[Vastaus]]="Kyllä"),1,0)</f>
        <v>0</v>
      </c>
      <c r="U17" s="121">
        <f>IF(AND(KysymyksetTaulukko3[[#This Row],[Maksimipisteet]]=1,NOT(ISBLANK(KysymyksetTaulukko3[[#This Row],[Vastaus]]))),1,0)</f>
        <v>0</v>
      </c>
      <c r="V17" s="123">
        <f>IF(OR(KysymyksetTaulukko3[[#This Row],[Luokka + toimiala]]="Ei kuulu",KysymyksetTaulukko3[[#This Row],[Vastaus]]="Ei koske",KysymyksetTaulukko3[[#This Row],[Luokka]]="Extra",KysymyksetTaulukko3[[#This Row],[Otsikkorivi]]="Kyllä"),0,1)</f>
        <v>0</v>
      </c>
    </row>
    <row r="18" spans="1:22" ht="29" x14ac:dyDescent="0.35">
      <c r="A18" s="3" t="s">
        <v>19</v>
      </c>
      <c r="B18" s="3" t="str">
        <f>IF(ISNUMBER(SEARCH("," &amp; LV!$B$10 &amp; ",", "," &amp; SUBSTITUTE(A18, " ", "")&amp; ",")),
  "Kuuluu",
  IF(AND(LV!$B$10&gt;=2,
      LV!$B$10&lt;=4,
      OR(ISNUMBER(SEARCH("," &amp;(LV!$B$10+1)&amp; ",", "," &amp; SUBSTITUTE(A18, " ", "")&amp; ",")),
        ISNUMBER(SEARCH("," &amp;(LV!$B$10+2)&amp; ",", "," &amp; SUBSTITUTE(A18, " ", "")&amp; ",")),
        ISNUMBER(SEARCH("," &amp;(LV!$B$10+3)&amp; ",", "," &amp; SUBSTITUTE(A18, " ", "")&amp; ",")),
        ISNUMBER(SEARCH("," &amp;(LV!$B$10+4)&amp; ",", "," &amp; SUBSTITUTE(A18, " ", "")&amp; ",")),
        ISNUMBER(SEARCH("," &amp;(LV!$B$10+5)&amp; ",", "," &amp; SUBSTITUTE(A18, " ", "")&amp; ",")))),
    "Extra",
    "Ei kuulu"))</f>
        <v>Ei kuulu</v>
      </c>
      <c r="C18" s="3" t="s">
        <v>126</v>
      </c>
      <c r="D18" s="3" t="str">
        <f>IF(ISNUMBER(SEARCH(LV!$I$5, Kestävä_ja_kehittyvä!C18)), "K", "E")</f>
        <v>E</v>
      </c>
      <c r="E18" s="3" t="str">
        <f>IF(ISNUMBER(SEARCH(LV!$I$6, Kestävä_ja_kehittyvä!$C18)), "K", "E")</f>
        <v>E</v>
      </c>
      <c r="F18" s="3" t="str">
        <f>IF(ISNUMBER(SEARCH(LV!$I$7, Kestävä_ja_kehittyvä!$C18)), "K", "E")</f>
        <v>E</v>
      </c>
      <c r="G18" s="3" t="str">
        <f>IF(ISNUMBER(SEARCH(LV!$I$8, Kestävä_ja_kehittyvä!$C18)), "K", "E")</f>
        <v>E</v>
      </c>
      <c r="H18" s="3" t="str">
        <f>IF(OR(KysymyksetTaulukko3[[#This Row],[Toimiala A]]="K",KysymyksetTaulukko3[[#This Row],[Toimiala B]]="K",KysymyksetTaulukko3[[#This Row],[Toimiala C]]="K",KysymyksetTaulukko3[[#This Row],[Toimiala D]]="K"),"Kuuluu","Ei kuulu")</f>
        <v>Ei kuulu</v>
      </c>
      <c r="I18" s="3" t="str">
        <f>IF(OR(KysymyksetTaulukko3[[#This Row],[Luokka]]="Ei kuulu",KysymyksetTaulukko3[[#This Row],[Toimiala-
kysymys]]="Ei kuulu"), "Ei kuulu", "Kuuluu")</f>
        <v>Ei kuulu</v>
      </c>
      <c r="J18" s="3" t="str">
        <f>IF(KysymyksetTaulukko3[[#This Row],[Luokka + toimiala]]="Kuuluu","a) Oman vesilaitoksen kysymykset","b) Muut kysymykset")</f>
        <v>b) Muut kysymykset</v>
      </c>
      <c r="K18" s="9" t="s">
        <v>123</v>
      </c>
      <c r="L18" s="126" t="s">
        <v>135</v>
      </c>
      <c r="M18" s="61" t="str">
        <f>LEFT(KysymyksetTaulukko3[[#This Row],[Alakategoria_]],2)</f>
        <v>10</v>
      </c>
      <c r="N18" s="107"/>
      <c r="O18" s="70" t="s">
        <v>222</v>
      </c>
      <c r="P18" s="67" t="str">
        <f>IF(AND(KysymyksetTaulukko3[[#This Row],[Luokka]]="Extra",KysymyksetTaulukko3[[#This Row],[Luokka + toimiala]]="Kuuluu"),"Extra","")</f>
        <v/>
      </c>
      <c r="Q18" s="114"/>
      <c r="R18" s="64" t="s">
        <v>139</v>
      </c>
      <c r="S18" s="159"/>
      <c r="T18" s="123">
        <f>IF(AND(KysymyksetTaulukko3[[#This Row],[Luokka + toimiala]]="Kuuluu",KysymyksetTaulukko3[[#This Row],[Vastaus]]="Kyllä"),1,0)</f>
        <v>0</v>
      </c>
      <c r="U18" s="121">
        <f>IF(AND(KysymyksetTaulukko3[[#This Row],[Maksimipisteet]]=1,NOT(ISBLANK(KysymyksetTaulukko3[[#This Row],[Vastaus]]))),1,0)</f>
        <v>0</v>
      </c>
      <c r="V18" s="123">
        <f>IF(OR(KysymyksetTaulukko3[[#This Row],[Luokka + toimiala]]="Ei kuulu",KysymyksetTaulukko3[[#This Row],[Vastaus]]="Ei koske",KysymyksetTaulukko3[[#This Row],[Luokka]]="Extra",KysymyksetTaulukko3[[#This Row],[Otsikkorivi]]="Kyllä"),0,1)</f>
        <v>0</v>
      </c>
    </row>
    <row r="19" spans="1:22" ht="28.5" x14ac:dyDescent="0.35">
      <c r="A19" s="3" t="s">
        <v>19</v>
      </c>
      <c r="B19" s="3" t="str">
        <f>IF(ISNUMBER(SEARCH("," &amp; LV!$B$10 &amp; ",", "," &amp; SUBSTITUTE(A19, " ", "")&amp; ",")),
  "Kuuluu",
  IF(AND(LV!$B$10&gt;=2,
      LV!$B$10&lt;=4,
      OR(ISNUMBER(SEARCH("," &amp;(LV!$B$10+1)&amp; ",", "," &amp; SUBSTITUTE(A19, " ", "")&amp; ",")),
        ISNUMBER(SEARCH("," &amp;(LV!$B$10+2)&amp; ",", "," &amp; SUBSTITUTE(A19, " ", "")&amp; ",")),
        ISNUMBER(SEARCH("," &amp;(LV!$B$10+3)&amp; ",", "," &amp; SUBSTITUTE(A19, " ", "")&amp; ",")),
        ISNUMBER(SEARCH("," &amp;(LV!$B$10+4)&amp; ",", "," &amp; SUBSTITUTE(A19, " ", "")&amp; ",")),
        ISNUMBER(SEARCH("," &amp;(LV!$B$10+5)&amp; ",", "," &amp; SUBSTITUTE(A19, " ", "")&amp; ",")))),
    "Extra",
    "Ei kuulu"))</f>
        <v>Ei kuulu</v>
      </c>
      <c r="C19" s="3" t="s">
        <v>126</v>
      </c>
      <c r="D19" s="3" t="str">
        <f>IF(ISNUMBER(SEARCH(LV!$I$5, Kestävä_ja_kehittyvä!C19)), "K", "E")</f>
        <v>E</v>
      </c>
      <c r="E19" s="3" t="str">
        <f>IF(ISNUMBER(SEARCH(LV!$I$6, Kestävä_ja_kehittyvä!$C19)), "K", "E")</f>
        <v>E</v>
      </c>
      <c r="F19" s="3" t="str">
        <f>IF(ISNUMBER(SEARCH(LV!$I$7, Kestävä_ja_kehittyvä!$C19)), "K", "E")</f>
        <v>E</v>
      </c>
      <c r="G19" s="3" t="str">
        <f>IF(ISNUMBER(SEARCH(LV!$I$8, Kestävä_ja_kehittyvä!$C19)), "K", "E")</f>
        <v>E</v>
      </c>
      <c r="H19" s="3" t="str">
        <f>IF(OR(KysymyksetTaulukko3[[#This Row],[Toimiala A]]="K",KysymyksetTaulukko3[[#This Row],[Toimiala B]]="K",KysymyksetTaulukko3[[#This Row],[Toimiala C]]="K",KysymyksetTaulukko3[[#This Row],[Toimiala D]]="K"),"Kuuluu","Ei kuulu")</f>
        <v>Ei kuulu</v>
      </c>
      <c r="I19" s="3" t="str">
        <f>IF(OR(KysymyksetTaulukko3[[#This Row],[Luokka]]="Ei kuulu",KysymyksetTaulukko3[[#This Row],[Toimiala-
kysymys]]="Ei kuulu"), "Ei kuulu", "Kuuluu")</f>
        <v>Ei kuulu</v>
      </c>
      <c r="J19" s="3" t="str">
        <f>IF(KysymyksetTaulukko3[[#This Row],[Luokka + toimiala]]="Kuuluu","a) Oman vesilaitoksen kysymykset","b) Muut kysymykset")</f>
        <v>b) Muut kysymykset</v>
      </c>
      <c r="K19" s="9" t="s">
        <v>123</v>
      </c>
      <c r="L19" s="126" t="s">
        <v>135</v>
      </c>
      <c r="M19" s="61" t="str">
        <f>LEFT(KysymyksetTaulukko3[[#This Row],[Alakategoria_]],2)</f>
        <v>10</v>
      </c>
      <c r="N19" s="107"/>
      <c r="O19" s="70" t="s">
        <v>222</v>
      </c>
      <c r="P19" s="67" t="str">
        <f>IF(AND(KysymyksetTaulukko3[[#This Row],[Luokka]]="Extra",KysymyksetTaulukko3[[#This Row],[Luokka + toimiala]]="Kuuluu"),"Extra","")</f>
        <v/>
      </c>
      <c r="Q19" s="114"/>
      <c r="R19" s="64" t="s">
        <v>140</v>
      </c>
      <c r="S19" s="159"/>
      <c r="T19" s="123">
        <f>IF(AND(KysymyksetTaulukko3[[#This Row],[Luokka + toimiala]]="Kuuluu",KysymyksetTaulukko3[[#This Row],[Vastaus]]="Kyllä"),1,0)</f>
        <v>0</v>
      </c>
      <c r="U19" s="121">
        <f>IF(AND(KysymyksetTaulukko3[[#This Row],[Maksimipisteet]]=1,NOT(ISBLANK(KysymyksetTaulukko3[[#This Row],[Vastaus]]))),1,0)</f>
        <v>0</v>
      </c>
      <c r="V19" s="123">
        <f>IF(OR(KysymyksetTaulukko3[[#This Row],[Luokka + toimiala]]="Ei kuulu",KysymyksetTaulukko3[[#This Row],[Vastaus]]="Ei koske",KysymyksetTaulukko3[[#This Row],[Luokka]]="Extra",KysymyksetTaulukko3[[#This Row],[Otsikkorivi]]="Kyllä"),0,1)</f>
        <v>0</v>
      </c>
    </row>
    <row r="20" spans="1:22" ht="28.5" x14ac:dyDescent="0.35">
      <c r="A20" s="3">
        <v>3.4</v>
      </c>
      <c r="B20" s="3" t="str">
        <f>IF(ISNUMBER(SEARCH("," &amp; LV!$B$10 &amp; ",", "," &amp; SUBSTITUTE(A20, " ", "")&amp; ",")),
  "Kuuluu",
  IF(AND(LV!$B$10&gt;=2,
      LV!$B$10&lt;=4,
      OR(ISNUMBER(SEARCH("," &amp;(LV!$B$10+1)&amp; ",", "," &amp; SUBSTITUTE(A20, " ", "")&amp; ",")),
        ISNUMBER(SEARCH("," &amp;(LV!$B$10+2)&amp; ",", "," &amp; SUBSTITUTE(A20, " ", "")&amp; ",")),
        ISNUMBER(SEARCH("," &amp;(LV!$B$10+3)&amp; ",", "," &amp; SUBSTITUTE(A20, " ", "")&amp; ",")),
        ISNUMBER(SEARCH("," &amp;(LV!$B$10+4)&amp; ",", "," &amp; SUBSTITUTE(A20, " ", "")&amp; ",")),
        ISNUMBER(SEARCH("," &amp;(LV!$B$10+5)&amp; ",", "," &amp; SUBSTITUTE(A20, " ", "")&amp; ",")))),
    "Extra",
    "Ei kuulu"))</f>
        <v>Ei kuulu</v>
      </c>
      <c r="C20" s="3" t="s">
        <v>28</v>
      </c>
      <c r="D20" s="3" t="str">
        <f>IF(ISNUMBER(SEARCH(LV!$I$5, Kestävä_ja_kehittyvä!C20)), "K", "E")</f>
        <v>E</v>
      </c>
      <c r="E20" s="3" t="str">
        <f>IF(ISNUMBER(SEARCH(LV!$I$6, Kestävä_ja_kehittyvä!$C20)), "K", "E")</f>
        <v>E</v>
      </c>
      <c r="F20" s="3" t="str">
        <f>IF(ISNUMBER(SEARCH(LV!$I$7, Kestävä_ja_kehittyvä!$C20)), "K", "E")</f>
        <v>E</v>
      </c>
      <c r="G20" s="3" t="str">
        <f>IF(ISNUMBER(SEARCH(LV!$I$8, Kestävä_ja_kehittyvä!$C20)), "K", "E")</f>
        <v>E</v>
      </c>
      <c r="H20" s="3" t="str">
        <f>IF(OR(KysymyksetTaulukko3[[#This Row],[Toimiala A]]="K",KysymyksetTaulukko3[[#This Row],[Toimiala B]]="K",KysymyksetTaulukko3[[#This Row],[Toimiala C]]="K",KysymyksetTaulukko3[[#This Row],[Toimiala D]]="K"),"Kuuluu","Ei kuulu")</f>
        <v>Ei kuulu</v>
      </c>
      <c r="I20" s="3" t="str">
        <f>IF(OR(KysymyksetTaulukko3[[#This Row],[Luokka]]="Ei kuulu",KysymyksetTaulukko3[[#This Row],[Toimiala-
kysymys]]="Ei kuulu"), "Ei kuulu", "Kuuluu")</f>
        <v>Ei kuulu</v>
      </c>
      <c r="J20" s="3" t="str">
        <f>IF(KysymyksetTaulukko3[[#This Row],[Luokka + toimiala]]="Kuuluu","a) Oman vesilaitoksen kysymykset","b) Muut kysymykset")</f>
        <v>b) Muut kysymykset</v>
      </c>
      <c r="K20" s="9" t="s">
        <v>123</v>
      </c>
      <c r="L20" s="126" t="s">
        <v>135</v>
      </c>
      <c r="M20" s="61" t="str">
        <f>LEFT(KysymyksetTaulukko3[[#This Row],[Alakategoria_]],2)</f>
        <v>10</v>
      </c>
      <c r="N20" s="107"/>
      <c r="O20" s="70" t="s">
        <v>222</v>
      </c>
      <c r="P20" s="67" t="str">
        <f>IF(AND(KysymyksetTaulukko3[[#This Row],[Luokka]]="Extra",KysymyksetTaulukko3[[#This Row],[Luokka + toimiala]]="Kuuluu"),"Extra","")</f>
        <v/>
      </c>
      <c r="Q20" s="114"/>
      <c r="R20" s="64" t="s">
        <v>141</v>
      </c>
      <c r="S20" s="159"/>
      <c r="T20" s="123">
        <f>IF(AND(KysymyksetTaulukko3[[#This Row],[Luokka + toimiala]]="Kuuluu",KysymyksetTaulukko3[[#This Row],[Vastaus]]="Kyllä"),1,0)</f>
        <v>0</v>
      </c>
      <c r="U20" s="121">
        <f>IF(AND(KysymyksetTaulukko3[[#This Row],[Maksimipisteet]]=1,NOT(ISBLANK(KysymyksetTaulukko3[[#This Row],[Vastaus]]))),1,0)</f>
        <v>0</v>
      </c>
      <c r="V20" s="123">
        <f>IF(OR(KysymyksetTaulukko3[[#This Row],[Luokka + toimiala]]="Ei kuulu",KysymyksetTaulukko3[[#This Row],[Vastaus]]="Ei koske",KysymyksetTaulukko3[[#This Row],[Luokka]]="Extra",KysymyksetTaulukko3[[#This Row],[Otsikkorivi]]="Kyllä"),0,1)</f>
        <v>0</v>
      </c>
    </row>
    <row r="21" spans="1:22" ht="28.5" x14ac:dyDescent="0.35">
      <c r="A21" s="3">
        <v>3.4</v>
      </c>
      <c r="B21" s="3" t="str">
        <f>IF(ISNUMBER(SEARCH("," &amp; LV!$B$10 &amp; ",", "," &amp; SUBSTITUTE(A21, " ", "")&amp; ",")),
  "Kuuluu",
  IF(AND(LV!$B$10&gt;=2,
      LV!$B$10&lt;=4,
      OR(ISNUMBER(SEARCH("," &amp;(LV!$B$10+1)&amp; ",", "," &amp; SUBSTITUTE(A21, " ", "")&amp; ",")),
        ISNUMBER(SEARCH("," &amp;(LV!$B$10+2)&amp; ",", "," &amp; SUBSTITUTE(A21, " ", "")&amp; ",")),
        ISNUMBER(SEARCH("," &amp;(LV!$B$10+3)&amp; ",", "," &amp; SUBSTITUTE(A21, " ", "")&amp; ",")),
        ISNUMBER(SEARCH("," &amp;(LV!$B$10+4)&amp; ",", "," &amp; SUBSTITUTE(A21, " ", "")&amp; ",")),
        ISNUMBER(SEARCH("," &amp;(LV!$B$10+5)&amp; ",", "," &amp; SUBSTITUTE(A21, " ", "")&amp; ",")))),
    "Extra",
    "Ei kuulu"))</f>
        <v>Ei kuulu</v>
      </c>
      <c r="C21" s="3" t="s">
        <v>28</v>
      </c>
      <c r="D21" s="3" t="str">
        <f>IF(ISNUMBER(SEARCH(LV!$I$5, Kestävä_ja_kehittyvä!C21)), "K", "E")</f>
        <v>E</v>
      </c>
      <c r="E21" s="3" t="str">
        <f>IF(ISNUMBER(SEARCH(LV!$I$6, Kestävä_ja_kehittyvä!$C21)), "K", "E")</f>
        <v>E</v>
      </c>
      <c r="F21" s="3" t="str">
        <f>IF(ISNUMBER(SEARCH(LV!$I$7, Kestävä_ja_kehittyvä!$C21)), "K", "E")</f>
        <v>E</v>
      </c>
      <c r="G21" s="3" t="str">
        <f>IF(ISNUMBER(SEARCH(LV!$I$8, Kestävä_ja_kehittyvä!$C21)), "K", "E")</f>
        <v>E</v>
      </c>
      <c r="H21" s="3" t="str">
        <f>IF(OR(KysymyksetTaulukko3[[#This Row],[Toimiala A]]="K",KysymyksetTaulukko3[[#This Row],[Toimiala B]]="K",KysymyksetTaulukko3[[#This Row],[Toimiala C]]="K",KysymyksetTaulukko3[[#This Row],[Toimiala D]]="K"),"Kuuluu","Ei kuulu")</f>
        <v>Ei kuulu</v>
      </c>
      <c r="I21" s="3" t="str">
        <f>IF(OR(KysymyksetTaulukko3[[#This Row],[Luokka]]="Ei kuulu",KysymyksetTaulukko3[[#This Row],[Toimiala-
kysymys]]="Ei kuulu"), "Ei kuulu", "Kuuluu")</f>
        <v>Ei kuulu</v>
      </c>
      <c r="J21" s="3" t="str">
        <f>IF(KysymyksetTaulukko3[[#This Row],[Luokka + toimiala]]="Kuuluu","a) Oman vesilaitoksen kysymykset","b) Muut kysymykset")</f>
        <v>b) Muut kysymykset</v>
      </c>
      <c r="K21" s="9" t="s">
        <v>123</v>
      </c>
      <c r="L21" s="126" t="s">
        <v>135</v>
      </c>
      <c r="M21" s="61" t="str">
        <f>LEFT(KysymyksetTaulukko3[[#This Row],[Alakategoria_]],2)</f>
        <v>10</v>
      </c>
      <c r="N21" s="107"/>
      <c r="O21" s="70" t="s">
        <v>222</v>
      </c>
      <c r="P21" s="67" t="str">
        <f>IF(AND(KysymyksetTaulukko3[[#This Row],[Luokka]]="Extra",KysymyksetTaulukko3[[#This Row],[Luokka + toimiala]]="Kuuluu"),"Extra","")</f>
        <v/>
      </c>
      <c r="Q21" s="114"/>
      <c r="R21" s="64" t="s">
        <v>142</v>
      </c>
      <c r="S21" s="159"/>
      <c r="T21" s="123">
        <f>IF(AND(KysymyksetTaulukko3[[#This Row],[Luokka + toimiala]]="Kuuluu",KysymyksetTaulukko3[[#This Row],[Vastaus]]="Kyllä"),1,0)</f>
        <v>0</v>
      </c>
      <c r="U21" s="121">
        <f>IF(AND(KysymyksetTaulukko3[[#This Row],[Maksimipisteet]]=1,NOT(ISBLANK(KysymyksetTaulukko3[[#This Row],[Vastaus]]))),1,0)</f>
        <v>0</v>
      </c>
      <c r="V21" s="123">
        <f>IF(OR(KysymyksetTaulukko3[[#This Row],[Luokka + toimiala]]="Ei kuulu",KysymyksetTaulukko3[[#This Row],[Vastaus]]="Ei koske",KysymyksetTaulukko3[[#This Row],[Luokka]]="Extra",KysymyksetTaulukko3[[#This Row],[Otsikkorivi]]="Kyllä"),0,1)</f>
        <v>0</v>
      </c>
    </row>
    <row r="22" spans="1:22" ht="28.5" x14ac:dyDescent="0.35">
      <c r="A22" s="3">
        <v>3.4</v>
      </c>
      <c r="B22" s="3" t="str">
        <f>IF(ISNUMBER(SEARCH("," &amp; LV!$B$10 &amp; ",", "," &amp; SUBSTITUTE(A22, " ", "")&amp; ",")),
  "Kuuluu",
  IF(AND(LV!$B$10&gt;=2,
      LV!$B$10&lt;=4,
      OR(ISNUMBER(SEARCH("," &amp;(LV!$B$10+1)&amp; ",", "," &amp; SUBSTITUTE(A22, " ", "")&amp; ",")),
        ISNUMBER(SEARCH("," &amp;(LV!$B$10+2)&amp; ",", "," &amp; SUBSTITUTE(A22, " ", "")&amp; ",")),
        ISNUMBER(SEARCH("," &amp;(LV!$B$10+3)&amp; ",", "," &amp; SUBSTITUTE(A22, " ", "")&amp; ",")),
        ISNUMBER(SEARCH("," &amp;(LV!$B$10+4)&amp; ",", "," &amp; SUBSTITUTE(A22, " ", "")&amp; ",")),
        ISNUMBER(SEARCH("," &amp;(LV!$B$10+5)&amp; ",", "," &amp; SUBSTITUTE(A22, " ", "")&amp; ",")))),
    "Extra",
    "Ei kuulu"))</f>
        <v>Ei kuulu</v>
      </c>
      <c r="C22" s="3" t="s">
        <v>28</v>
      </c>
      <c r="D22" s="3" t="str">
        <f>IF(ISNUMBER(SEARCH(LV!$I$5, Kestävä_ja_kehittyvä!C22)), "K", "E")</f>
        <v>E</v>
      </c>
      <c r="E22" s="3" t="str">
        <f>IF(ISNUMBER(SEARCH(LV!$I$6, Kestävä_ja_kehittyvä!$C22)), "K", "E")</f>
        <v>E</v>
      </c>
      <c r="F22" s="3" t="str">
        <f>IF(ISNUMBER(SEARCH(LV!$I$7, Kestävä_ja_kehittyvä!$C22)), "K", "E")</f>
        <v>E</v>
      </c>
      <c r="G22" s="3" t="str">
        <f>IF(ISNUMBER(SEARCH(LV!$I$8, Kestävä_ja_kehittyvä!$C22)), "K", "E")</f>
        <v>E</v>
      </c>
      <c r="H22" s="3" t="str">
        <f>IF(OR(KysymyksetTaulukko3[[#This Row],[Toimiala A]]="K",KysymyksetTaulukko3[[#This Row],[Toimiala B]]="K",KysymyksetTaulukko3[[#This Row],[Toimiala C]]="K",KysymyksetTaulukko3[[#This Row],[Toimiala D]]="K"),"Kuuluu","Ei kuulu")</f>
        <v>Ei kuulu</v>
      </c>
      <c r="I22" s="3" t="str">
        <f>IF(OR(KysymyksetTaulukko3[[#This Row],[Luokka]]="Ei kuulu",KysymyksetTaulukko3[[#This Row],[Toimiala-
kysymys]]="Ei kuulu"), "Ei kuulu", "Kuuluu")</f>
        <v>Ei kuulu</v>
      </c>
      <c r="J22" s="3" t="str">
        <f>IF(KysymyksetTaulukko3[[#This Row],[Luokka + toimiala]]="Kuuluu","a) Oman vesilaitoksen kysymykset","b) Muut kysymykset")</f>
        <v>b) Muut kysymykset</v>
      </c>
      <c r="K22" s="9" t="s">
        <v>123</v>
      </c>
      <c r="L22" s="126" t="s">
        <v>135</v>
      </c>
      <c r="M22" s="61" t="str">
        <f>LEFT(KysymyksetTaulukko3[[#This Row],[Alakategoria_]],2)</f>
        <v>10</v>
      </c>
      <c r="N22" s="107"/>
      <c r="O22" s="70" t="s">
        <v>222</v>
      </c>
      <c r="P22" s="67" t="str">
        <f>IF(AND(KysymyksetTaulukko3[[#This Row],[Luokka]]="Extra",KysymyksetTaulukko3[[#This Row],[Luokka + toimiala]]="Kuuluu"),"Extra","")</f>
        <v/>
      </c>
      <c r="Q22" s="114"/>
      <c r="R22" s="64" t="s">
        <v>143</v>
      </c>
      <c r="S22" s="159"/>
      <c r="T22" s="123">
        <f>IF(AND(KysymyksetTaulukko3[[#This Row],[Luokka + toimiala]]="Kuuluu",KysymyksetTaulukko3[[#This Row],[Vastaus]]="Kyllä"),1,0)</f>
        <v>0</v>
      </c>
      <c r="U22" s="121">
        <f>IF(AND(KysymyksetTaulukko3[[#This Row],[Maksimipisteet]]=1,NOT(ISBLANK(KysymyksetTaulukko3[[#This Row],[Vastaus]]))),1,0)</f>
        <v>0</v>
      </c>
      <c r="V22" s="123">
        <f>IF(OR(KysymyksetTaulukko3[[#This Row],[Luokka + toimiala]]="Ei kuulu",KysymyksetTaulukko3[[#This Row],[Vastaus]]="Ei koske",KysymyksetTaulukko3[[#This Row],[Luokka]]="Extra",KysymyksetTaulukko3[[#This Row],[Otsikkorivi]]="Kyllä"),0,1)</f>
        <v>0</v>
      </c>
    </row>
    <row r="23" spans="1:22" ht="28.5" x14ac:dyDescent="0.35">
      <c r="A23" s="3">
        <v>4</v>
      </c>
      <c r="B23" s="3" t="str">
        <f>IF(ISNUMBER(SEARCH("," &amp; LV!$B$10 &amp; ",", "," &amp; SUBSTITUTE(A23, " ", "")&amp; ",")),
  "Kuuluu",
  IF(AND(LV!$B$10&gt;=2,
      LV!$B$10&lt;=4,
      OR(ISNUMBER(SEARCH("," &amp;(LV!$B$10+1)&amp; ",", "," &amp; SUBSTITUTE(A23, " ", "")&amp; ",")),
        ISNUMBER(SEARCH("," &amp;(LV!$B$10+2)&amp; ",", "," &amp; SUBSTITUTE(A23, " ", "")&amp; ",")),
        ISNUMBER(SEARCH("," &amp;(LV!$B$10+3)&amp; ",", "," &amp; SUBSTITUTE(A23, " ", "")&amp; ",")),
        ISNUMBER(SEARCH("," &amp;(LV!$B$10+4)&amp; ",", "," &amp; SUBSTITUTE(A23, " ", "")&amp; ",")),
        ISNUMBER(SEARCH("," &amp;(LV!$B$10+5)&amp; ",", "," &amp; SUBSTITUTE(A23, " ", "")&amp; ",")))),
    "Extra",
    "Ei kuulu"))</f>
        <v>Ei kuulu</v>
      </c>
      <c r="C23" s="3" t="s">
        <v>129</v>
      </c>
      <c r="D23" s="3" t="str">
        <f>IF(ISNUMBER(SEARCH(LV!$I$5, Kestävä_ja_kehittyvä!C23)), "K", "E")</f>
        <v>E</v>
      </c>
      <c r="E23" s="3" t="str">
        <f>IF(ISNUMBER(SEARCH(LV!$I$6, Kestävä_ja_kehittyvä!$C23)), "K", "E")</f>
        <v>E</v>
      </c>
      <c r="F23" s="3" t="str">
        <f>IF(ISNUMBER(SEARCH(LV!$I$7, Kestävä_ja_kehittyvä!$C23)), "K", "E")</f>
        <v>E</v>
      </c>
      <c r="G23" s="3" t="str">
        <f>IF(ISNUMBER(SEARCH(LV!$I$8, Kestävä_ja_kehittyvä!$C23)), "K", "E")</f>
        <v>E</v>
      </c>
      <c r="H23" s="3" t="str">
        <f>IF(OR(KysymyksetTaulukko3[[#This Row],[Toimiala A]]="K",KysymyksetTaulukko3[[#This Row],[Toimiala B]]="K",KysymyksetTaulukko3[[#This Row],[Toimiala C]]="K",KysymyksetTaulukko3[[#This Row],[Toimiala D]]="K"),"Kuuluu","Ei kuulu")</f>
        <v>Ei kuulu</v>
      </c>
      <c r="I23" s="3" t="str">
        <f>IF(OR(KysymyksetTaulukko3[[#This Row],[Luokka]]="Ei kuulu",KysymyksetTaulukko3[[#This Row],[Toimiala-
kysymys]]="Ei kuulu"), "Ei kuulu", "Kuuluu")</f>
        <v>Ei kuulu</v>
      </c>
      <c r="J23" s="3" t="str">
        <f>IF(KysymyksetTaulukko3[[#This Row],[Luokka + toimiala]]="Kuuluu","a) Oman vesilaitoksen kysymykset","b) Muut kysymykset")</f>
        <v>b) Muut kysymykset</v>
      </c>
      <c r="K23" s="9" t="s">
        <v>123</v>
      </c>
      <c r="L23" s="126" t="s">
        <v>135</v>
      </c>
      <c r="M23" s="61" t="str">
        <f>LEFT(KysymyksetTaulukko3[[#This Row],[Alakategoria_]],2)</f>
        <v>10</v>
      </c>
      <c r="N23" s="107"/>
      <c r="O23" s="70" t="s">
        <v>222</v>
      </c>
      <c r="P23" s="67" t="str">
        <f>IF(AND(KysymyksetTaulukko3[[#This Row],[Luokka]]="Extra",KysymyksetTaulukko3[[#This Row],[Luokka + toimiala]]="Kuuluu"),"Extra","")</f>
        <v/>
      </c>
      <c r="Q23" s="114"/>
      <c r="R23" s="64" t="s">
        <v>144</v>
      </c>
      <c r="S23" s="159"/>
      <c r="T23" s="123">
        <f>IF(AND(KysymyksetTaulukko3[[#This Row],[Luokka + toimiala]]="Kuuluu",KysymyksetTaulukko3[[#This Row],[Vastaus]]="Kyllä"),1,0)</f>
        <v>0</v>
      </c>
      <c r="U23" s="121">
        <f>IF(AND(KysymyksetTaulukko3[[#This Row],[Maksimipisteet]]=1,NOT(ISBLANK(KysymyksetTaulukko3[[#This Row],[Vastaus]]))),1,0)</f>
        <v>0</v>
      </c>
      <c r="V23" s="123">
        <f>IF(OR(KysymyksetTaulukko3[[#This Row],[Luokka + toimiala]]="Ei kuulu",KysymyksetTaulukko3[[#This Row],[Vastaus]]="Ei koske",KysymyksetTaulukko3[[#This Row],[Luokka]]="Extra",KysymyksetTaulukko3[[#This Row],[Otsikkorivi]]="Kyllä"),0,1)</f>
        <v>0</v>
      </c>
    </row>
    <row r="24" spans="1:22" ht="28.5" x14ac:dyDescent="0.35">
      <c r="A24" s="3">
        <v>5</v>
      </c>
      <c r="B24" s="3" t="str">
        <f>IF(ISNUMBER(SEARCH("," &amp; LV!$B$10 &amp; ",", "," &amp; SUBSTITUTE(A24, " ", "")&amp; ",")),
  "Kuuluu",
  IF(AND(LV!$B$10&gt;=2,
      LV!$B$10&lt;=4,
      OR(ISNUMBER(SEARCH("," &amp;(LV!$B$10+1)&amp; ",", "," &amp; SUBSTITUTE(A24, " ", "")&amp; ",")),
        ISNUMBER(SEARCH("," &amp;(LV!$B$10+2)&amp; ",", "," &amp; SUBSTITUTE(A24, " ", "")&amp; ",")),
        ISNUMBER(SEARCH("," &amp;(LV!$B$10+3)&amp; ",", "," &amp; SUBSTITUTE(A24, " ", "")&amp; ",")),
        ISNUMBER(SEARCH("," &amp;(LV!$B$10+4)&amp; ",", "," &amp; SUBSTITUTE(A24, " ", "")&amp; ",")),
        ISNUMBER(SEARCH("," &amp;(LV!$B$10+5)&amp; ",", "," &amp; SUBSTITUTE(A24, " ", "")&amp; ",")))),
    "Extra",
    "Ei kuulu"))</f>
        <v>Ei kuulu</v>
      </c>
      <c r="C24" s="3" t="s">
        <v>28</v>
      </c>
      <c r="D24" s="3" t="str">
        <f>IF(ISNUMBER(SEARCH(LV!$I$5, Kestävä_ja_kehittyvä!C24)), "K", "E")</f>
        <v>E</v>
      </c>
      <c r="E24" s="3" t="str">
        <f>IF(ISNUMBER(SEARCH(LV!$I$6, Kestävä_ja_kehittyvä!$C24)), "K", "E")</f>
        <v>E</v>
      </c>
      <c r="F24" s="3" t="str">
        <f>IF(ISNUMBER(SEARCH(LV!$I$7, Kestävä_ja_kehittyvä!$C24)), "K", "E")</f>
        <v>E</v>
      </c>
      <c r="G24" s="3" t="str">
        <f>IF(ISNUMBER(SEARCH(LV!$I$8, Kestävä_ja_kehittyvä!$C24)), "K", "E")</f>
        <v>E</v>
      </c>
      <c r="H24" s="3" t="str">
        <f>IF(OR(KysymyksetTaulukko3[[#This Row],[Toimiala A]]="K",KysymyksetTaulukko3[[#This Row],[Toimiala B]]="K",KysymyksetTaulukko3[[#This Row],[Toimiala C]]="K",KysymyksetTaulukko3[[#This Row],[Toimiala D]]="K"),"Kuuluu","Ei kuulu")</f>
        <v>Ei kuulu</v>
      </c>
      <c r="I24" s="3" t="str">
        <f>IF(OR(KysymyksetTaulukko3[[#This Row],[Luokka]]="Ei kuulu",KysymyksetTaulukko3[[#This Row],[Toimiala-
kysymys]]="Ei kuulu"), "Ei kuulu", "Kuuluu")</f>
        <v>Ei kuulu</v>
      </c>
      <c r="J24" s="3" t="str">
        <f>IF(KysymyksetTaulukko3[[#This Row],[Luokka + toimiala]]="Kuuluu","a) Oman vesilaitoksen kysymykset","b) Muut kysymykset")</f>
        <v>b) Muut kysymykset</v>
      </c>
      <c r="K24" s="9" t="s">
        <v>123</v>
      </c>
      <c r="L24" s="126" t="s">
        <v>135</v>
      </c>
      <c r="M24" s="61" t="str">
        <f>LEFT(KysymyksetTaulukko3[[#This Row],[Alakategoria_]],2)</f>
        <v>10</v>
      </c>
      <c r="N24" s="107"/>
      <c r="O24" s="70" t="s">
        <v>222</v>
      </c>
      <c r="P24" s="67" t="str">
        <f>IF(AND(KysymyksetTaulukko3[[#This Row],[Luokka]]="Extra",KysymyksetTaulukko3[[#This Row],[Luokka + toimiala]]="Kuuluu"),"Extra","")</f>
        <v/>
      </c>
      <c r="Q24" s="114"/>
      <c r="R24" s="64" t="s">
        <v>145</v>
      </c>
      <c r="S24" s="159"/>
      <c r="T24" s="123">
        <f>IF(AND(KysymyksetTaulukko3[[#This Row],[Luokka + toimiala]]="Kuuluu",KysymyksetTaulukko3[[#This Row],[Vastaus]]="Kyllä"),1,0)</f>
        <v>0</v>
      </c>
      <c r="U24" s="121">
        <f>IF(AND(KysymyksetTaulukko3[[#This Row],[Maksimipisteet]]=1,NOT(ISBLANK(KysymyksetTaulukko3[[#This Row],[Vastaus]]))),1,0)</f>
        <v>0</v>
      </c>
      <c r="V24" s="123">
        <f>IF(OR(KysymyksetTaulukko3[[#This Row],[Luokka + toimiala]]="Ei kuulu",KysymyksetTaulukko3[[#This Row],[Vastaus]]="Ei koske",KysymyksetTaulukko3[[#This Row],[Luokka]]="Extra",KysymyksetTaulukko3[[#This Row],[Otsikkorivi]]="Kyllä"),0,1)</f>
        <v>0</v>
      </c>
    </row>
    <row r="25" spans="1:22" ht="28.5" x14ac:dyDescent="0.35">
      <c r="A25" s="3">
        <v>5</v>
      </c>
      <c r="B25" s="3" t="str">
        <f>IF(ISNUMBER(SEARCH("," &amp; LV!$B$10 &amp; ",", "," &amp; SUBSTITUTE(A25, " ", "")&amp; ",")),
  "Kuuluu",
  IF(AND(LV!$B$10&gt;=2,
      LV!$B$10&lt;=4,
      OR(ISNUMBER(SEARCH("," &amp;(LV!$B$10+1)&amp; ",", "," &amp; SUBSTITUTE(A25, " ", "")&amp; ",")),
        ISNUMBER(SEARCH("," &amp;(LV!$B$10+2)&amp; ",", "," &amp; SUBSTITUTE(A25, " ", "")&amp; ",")),
        ISNUMBER(SEARCH("," &amp;(LV!$B$10+3)&amp; ",", "," &amp; SUBSTITUTE(A25, " ", "")&amp; ",")),
        ISNUMBER(SEARCH("," &amp;(LV!$B$10+4)&amp; ",", "," &amp; SUBSTITUTE(A25, " ", "")&amp; ",")),
        ISNUMBER(SEARCH("," &amp;(LV!$B$10+5)&amp; ",", "," &amp; SUBSTITUTE(A25, " ", "")&amp; ",")))),
    "Extra",
    "Ei kuulu"))</f>
        <v>Ei kuulu</v>
      </c>
      <c r="C25" s="3" t="s">
        <v>28</v>
      </c>
      <c r="D25" s="3" t="str">
        <f>IF(ISNUMBER(SEARCH(LV!$I$5, Kestävä_ja_kehittyvä!C25)), "K", "E")</f>
        <v>E</v>
      </c>
      <c r="E25" s="3" t="str">
        <f>IF(ISNUMBER(SEARCH(LV!$I$6, Kestävä_ja_kehittyvä!$C25)), "K", "E")</f>
        <v>E</v>
      </c>
      <c r="F25" s="3" t="str">
        <f>IF(ISNUMBER(SEARCH(LV!$I$7, Kestävä_ja_kehittyvä!$C25)), "K", "E")</f>
        <v>E</v>
      </c>
      <c r="G25" s="3" t="str">
        <f>IF(ISNUMBER(SEARCH(LV!$I$8, Kestävä_ja_kehittyvä!$C25)), "K", "E")</f>
        <v>E</v>
      </c>
      <c r="H25" s="3" t="str">
        <f>IF(OR(KysymyksetTaulukko3[[#This Row],[Toimiala A]]="K",KysymyksetTaulukko3[[#This Row],[Toimiala B]]="K",KysymyksetTaulukko3[[#This Row],[Toimiala C]]="K",KysymyksetTaulukko3[[#This Row],[Toimiala D]]="K"),"Kuuluu","Ei kuulu")</f>
        <v>Ei kuulu</v>
      </c>
      <c r="I25" s="3" t="str">
        <f>IF(OR(KysymyksetTaulukko3[[#This Row],[Luokka]]="Ei kuulu",KysymyksetTaulukko3[[#This Row],[Toimiala-
kysymys]]="Ei kuulu"), "Ei kuulu", "Kuuluu")</f>
        <v>Ei kuulu</v>
      </c>
      <c r="J25" s="3" t="str">
        <f>IF(KysymyksetTaulukko3[[#This Row],[Luokka + toimiala]]="Kuuluu","a) Oman vesilaitoksen kysymykset","b) Muut kysymykset")</f>
        <v>b) Muut kysymykset</v>
      </c>
      <c r="K25" s="9" t="s">
        <v>123</v>
      </c>
      <c r="L25" s="126" t="s">
        <v>135</v>
      </c>
      <c r="M25" s="61" t="str">
        <f>LEFT(KysymyksetTaulukko3[[#This Row],[Alakategoria_]],2)</f>
        <v>10</v>
      </c>
      <c r="N25" s="107"/>
      <c r="O25" s="70" t="s">
        <v>222</v>
      </c>
      <c r="P25" s="67" t="str">
        <f>IF(AND(KysymyksetTaulukko3[[#This Row],[Luokka]]="Extra",KysymyksetTaulukko3[[#This Row],[Luokka + toimiala]]="Kuuluu"),"Extra","")</f>
        <v/>
      </c>
      <c r="Q25" s="114"/>
      <c r="R25" s="64" t="s">
        <v>146</v>
      </c>
      <c r="S25" s="159"/>
      <c r="T25" s="123">
        <f>IF(AND(KysymyksetTaulukko3[[#This Row],[Luokka + toimiala]]="Kuuluu",KysymyksetTaulukko3[[#This Row],[Vastaus]]="Kyllä"),1,0)</f>
        <v>0</v>
      </c>
      <c r="U25" s="121">
        <f>IF(AND(KysymyksetTaulukko3[[#This Row],[Maksimipisteet]]=1,NOT(ISBLANK(KysymyksetTaulukko3[[#This Row],[Vastaus]]))),1,0)</f>
        <v>0</v>
      </c>
      <c r="V25" s="123">
        <f>IF(OR(KysymyksetTaulukko3[[#This Row],[Luokka + toimiala]]="Ei kuulu",KysymyksetTaulukko3[[#This Row],[Vastaus]]="Ei koske",KysymyksetTaulukko3[[#This Row],[Luokka]]="Extra",KysymyksetTaulukko3[[#This Row],[Otsikkorivi]]="Kyllä"),0,1)</f>
        <v>0</v>
      </c>
    </row>
    <row r="26" spans="1:22" ht="28.5" x14ac:dyDescent="0.35">
      <c r="A26" s="3">
        <v>5</v>
      </c>
      <c r="B26" s="3" t="str">
        <f>IF(ISNUMBER(SEARCH("," &amp; LV!$B$10 &amp; ",", "," &amp; SUBSTITUTE(A26, " ", "")&amp; ",")),
  "Kuuluu",
  IF(AND(LV!$B$10&gt;=2,
      LV!$B$10&lt;=4,
      OR(ISNUMBER(SEARCH("," &amp;(LV!$B$10+1)&amp; ",", "," &amp; SUBSTITUTE(A26, " ", "")&amp; ",")),
        ISNUMBER(SEARCH("," &amp;(LV!$B$10+2)&amp; ",", "," &amp; SUBSTITUTE(A26, " ", "")&amp; ",")),
        ISNUMBER(SEARCH("," &amp;(LV!$B$10+3)&amp; ",", "," &amp; SUBSTITUTE(A26, " ", "")&amp; ",")),
        ISNUMBER(SEARCH("," &amp;(LV!$B$10+4)&amp; ",", "," &amp; SUBSTITUTE(A26, " ", "")&amp; ",")),
        ISNUMBER(SEARCH("," &amp;(LV!$B$10+5)&amp; ",", "," &amp; SUBSTITUTE(A26, " ", "")&amp; ",")))),
    "Extra",
    "Ei kuulu"))</f>
        <v>Ei kuulu</v>
      </c>
      <c r="C26" s="3" t="s">
        <v>28</v>
      </c>
      <c r="D26" s="3" t="str">
        <f>IF(ISNUMBER(SEARCH(LV!$I$5, Kestävä_ja_kehittyvä!C26)), "K", "E")</f>
        <v>E</v>
      </c>
      <c r="E26" s="3" t="str">
        <f>IF(ISNUMBER(SEARCH(LV!$I$6, Kestävä_ja_kehittyvä!$C26)), "K", "E")</f>
        <v>E</v>
      </c>
      <c r="F26" s="3" t="str">
        <f>IF(ISNUMBER(SEARCH(LV!$I$7, Kestävä_ja_kehittyvä!$C26)), "K", "E")</f>
        <v>E</v>
      </c>
      <c r="G26" s="3" t="str">
        <f>IF(ISNUMBER(SEARCH(LV!$I$8, Kestävä_ja_kehittyvä!$C26)), "K", "E")</f>
        <v>E</v>
      </c>
      <c r="H26" s="3" t="str">
        <f>IF(OR(KysymyksetTaulukko3[[#This Row],[Toimiala A]]="K",KysymyksetTaulukko3[[#This Row],[Toimiala B]]="K",KysymyksetTaulukko3[[#This Row],[Toimiala C]]="K",KysymyksetTaulukko3[[#This Row],[Toimiala D]]="K"),"Kuuluu","Ei kuulu")</f>
        <v>Ei kuulu</v>
      </c>
      <c r="I26" s="3" t="str">
        <f>IF(OR(KysymyksetTaulukko3[[#This Row],[Luokka]]="Ei kuulu",KysymyksetTaulukko3[[#This Row],[Toimiala-
kysymys]]="Ei kuulu"), "Ei kuulu", "Kuuluu")</f>
        <v>Ei kuulu</v>
      </c>
      <c r="J26" s="3" t="str">
        <f>IF(KysymyksetTaulukko3[[#This Row],[Luokka + toimiala]]="Kuuluu","a) Oman vesilaitoksen kysymykset","b) Muut kysymykset")</f>
        <v>b) Muut kysymykset</v>
      </c>
      <c r="K26" s="9" t="s">
        <v>123</v>
      </c>
      <c r="L26" s="126" t="s">
        <v>135</v>
      </c>
      <c r="M26" s="61" t="str">
        <f>LEFT(KysymyksetTaulukko3[[#This Row],[Alakategoria_]],2)</f>
        <v>10</v>
      </c>
      <c r="N26" s="107"/>
      <c r="O26" s="70" t="s">
        <v>222</v>
      </c>
      <c r="P26" s="67" t="str">
        <f>IF(AND(KysymyksetTaulukko3[[#This Row],[Luokka]]="Extra",KysymyksetTaulukko3[[#This Row],[Luokka + toimiala]]="Kuuluu"),"Extra","")</f>
        <v/>
      </c>
      <c r="Q26" s="114"/>
      <c r="R26" s="64" t="s">
        <v>147</v>
      </c>
      <c r="S26" s="159"/>
      <c r="T26" s="123">
        <f>IF(AND(KysymyksetTaulukko3[[#This Row],[Luokka + toimiala]]="Kuuluu",KysymyksetTaulukko3[[#This Row],[Vastaus]]="Kyllä"),1,0)</f>
        <v>0</v>
      </c>
      <c r="U26" s="121">
        <f>IF(AND(KysymyksetTaulukko3[[#This Row],[Maksimipisteet]]=1,NOT(ISBLANK(KysymyksetTaulukko3[[#This Row],[Vastaus]]))),1,0)</f>
        <v>0</v>
      </c>
      <c r="V26" s="123">
        <f>IF(OR(KysymyksetTaulukko3[[#This Row],[Luokka + toimiala]]="Ei kuulu",KysymyksetTaulukko3[[#This Row],[Vastaus]]="Ei koske",KysymyksetTaulukko3[[#This Row],[Luokka]]="Extra",KysymyksetTaulukko3[[#This Row],[Otsikkorivi]]="Kyllä"),0,1)</f>
        <v>0</v>
      </c>
    </row>
    <row r="27" spans="1:22" ht="28.5" x14ac:dyDescent="0.35">
      <c r="A27" s="3" t="s">
        <v>6</v>
      </c>
      <c r="B27" s="3" t="str">
        <f>IF(ISNUMBER(SEARCH("," &amp; LV!$B$10 &amp; ",", "," &amp; SUBSTITUTE(A27, " ", "")&amp; ",")),
  "Kuuluu",
  IF(AND(LV!$B$10&gt;=2,
      LV!$B$10&lt;=4,
      OR(ISNUMBER(SEARCH("," &amp;(LV!$B$10+1)&amp; ",", "," &amp; SUBSTITUTE(A27, " ", "")&amp; ",")),
        ISNUMBER(SEARCH("," &amp;(LV!$B$10+2)&amp; ",", "," &amp; SUBSTITUTE(A27, " ", "")&amp; ",")),
        ISNUMBER(SEARCH("," &amp;(LV!$B$10+3)&amp; ",", "," &amp; SUBSTITUTE(A27, " ", "")&amp; ",")),
        ISNUMBER(SEARCH("," &amp;(LV!$B$10+4)&amp; ",", "," &amp; SUBSTITUTE(A27, " ", "")&amp; ",")),
        ISNUMBER(SEARCH("," &amp;(LV!$B$10+5)&amp; ",", "," &amp; SUBSTITUTE(A27, " ", "")&amp; ",")))),
    "Extra",
    "Ei kuulu"))</f>
        <v>Ei kuulu</v>
      </c>
      <c r="C27" s="3" t="s">
        <v>28</v>
      </c>
      <c r="D27" s="3" t="str">
        <f>IF(ISNUMBER(SEARCH(LV!$I$5, Kestävä_ja_kehittyvä!C27)), "K", "E")</f>
        <v>E</v>
      </c>
      <c r="E27" s="3" t="str">
        <f>IF(ISNUMBER(SEARCH(LV!$I$6, Kestävä_ja_kehittyvä!$C27)), "K", "E")</f>
        <v>E</v>
      </c>
      <c r="F27" s="3" t="str">
        <f>IF(ISNUMBER(SEARCH(LV!$I$7, Kestävä_ja_kehittyvä!$C27)), "K", "E")</f>
        <v>E</v>
      </c>
      <c r="G27" s="3" t="str">
        <f>IF(ISNUMBER(SEARCH(LV!$I$8, Kestävä_ja_kehittyvä!$C27)), "K", "E")</f>
        <v>E</v>
      </c>
      <c r="H27" s="3" t="str">
        <f>IF(OR(KysymyksetTaulukko3[[#This Row],[Toimiala A]]="K",KysymyksetTaulukko3[[#This Row],[Toimiala B]]="K",KysymyksetTaulukko3[[#This Row],[Toimiala C]]="K",KysymyksetTaulukko3[[#This Row],[Toimiala D]]="K"),"Kuuluu","Ei kuulu")</f>
        <v>Ei kuulu</v>
      </c>
      <c r="I27" s="3" t="str">
        <f>IF(OR(KysymyksetTaulukko3[[#This Row],[Luokka]]="Ei kuulu",KysymyksetTaulukko3[[#This Row],[Toimiala-
kysymys]]="Ei kuulu"), "Ei kuulu", "Kuuluu")</f>
        <v>Ei kuulu</v>
      </c>
      <c r="J27" s="3" t="str">
        <f>IF(KysymyksetTaulukko3[[#This Row],[Luokka + toimiala]]="Kuuluu","a) Oman vesilaitoksen kysymykset","b) Muut kysymykset")</f>
        <v>b) Muut kysymykset</v>
      </c>
      <c r="K27" s="9" t="s">
        <v>123</v>
      </c>
      <c r="L27" s="9" t="s">
        <v>241</v>
      </c>
      <c r="M27" s="61" t="str">
        <f>LEFT(KysymyksetTaulukko3[[#This Row],[Alakategoria_]],2)</f>
        <v>_O</v>
      </c>
      <c r="N27" s="107"/>
      <c r="O27" s="70"/>
      <c r="P27" s="67" t="str">
        <f>IF(AND(KysymyksetTaulukko3[[#This Row],[Luokka]]="Extra",KysymyksetTaulukko3[[#This Row],[Luokka + toimiala]]="Kuuluu"),"Extra","")</f>
        <v/>
      </c>
      <c r="Q27" s="114" t="s">
        <v>177</v>
      </c>
      <c r="R27" s="128" t="s">
        <v>148</v>
      </c>
      <c r="S27" s="158"/>
      <c r="T27" s="123">
        <f>IF(AND(KysymyksetTaulukko3[[#This Row],[Luokka + toimiala]]="Kuuluu",KysymyksetTaulukko3[[#This Row],[Vastaus]]="Kyllä"),1,0)</f>
        <v>0</v>
      </c>
      <c r="U27" s="121">
        <f>IF(AND(KysymyksetTaulukko3[[#This Row],[Maksimipisteet]]=1,NOT(ISBLANK(KysymyksetTaulukko3[[#This Row],[Vastaus]]))),1,0)</f>
        <v>0</v>
      </c>
      <c r="V27" s="123">
        <f>IF(OR(KysymyksetTaulukko3[[#This Row],[Luokka + toimiala]]="Ei kuulu",KysymyksetTaulukko3[[#This Row],[Vastaus]]="Ei koske",KysymyksetTaulukko3[[#This Row],[Luokka]]="Extra",KysymyksetTaulukko3[[#This Row],[Otsikkorivi]]="Kyllä"),0,1)</f>
        <v>0</v>
      </c>
    </row>
    <row r="28" spans="1:22" ht="28.5" x14ac:dyDescent="0.35">
      <c r="A28" s="3" t="s">
        <v>12</v>
      </c>
      <c r="B28" s="3" t="str">
        <f>IF(ISNUMBER(SEARCH("," &amp; LV!$B$10 &amp; ",", "," &amp; SUBSTITUTE(A28, " ", "")&amp; ",")),
  "Kuuluu",
  IF(AND(LV!$B$10&gt;=2,
      LV!$B$10&lt;=4,
      OR(ISNUMBER(SEARCH("," &amp;(LV!$B$10+1)&amp; ",", "," &amp; SUBSTITUTE(A28, " ", "")&amp; ",")),
        ISNUMBER(SEARCH("," &amp;(LV!$B$10+2)&amp; ",", "," &amp; SUBSTITUTE(A28, " ", "")&amp; ",")),
        ISNUMBER(SEARCH("," &amp;(LV!$B$10+3)&amp; ",", "," &amp; SUBSTITUTE(A28, " ", "")&amp; ",")),
        ISNUMBER(SEARCH("," &amp;(LV!$B$10+4)&amp; ",", "," &amp; SUBSTITUTE(A28, " ", "")&amp; ",")),
        ISNUMBER(SEARCH("," &amp;(LV!$B$10+5)&amp; ",", "," &amp; SUBSTITUTE(A28, " ", "")&amp; ",")))),
    "Extra",
    "Ei kuulu"))</f>
        <v>Ei kuulu</v>
      </c>
      <c r="C28" s="3" t="s">
        <v>44</v>
      </c>
      <c r="D28" s="3" t="str">
        <f>IF(ISNUMBER(SEARCH(LV!$I$5, Kestävä_ja_kehittyvä!C28)), "K", "E")</f>
        <v>E</v>
      </c>
      <c r="E28" s="3" t="str">
        <f>IF(ISNUMBER(SEARCH(LV!$I$6, Kestävä_ja_kehittyvä!$C28)), "K", "E")</f>
        <v>E</v>
      </c>
      <c r="F28" s="3" t="str">
        <f>IF(ISNUMBER(SEARCH(LV!$I$7, Kestävä_ja_kehittyvä!$C28)), "K", "E")</f>
        <v>E</v>
      </c>
      <c r="G28" s="3" t="str">
        <f>IF(ISNUMBER(SEARCH(LV!$I$8, Kestävä_ja_kehittyvä!$C28)), "K", "E")</f>
        <v>E</v>
      </c>
      <c r="H28" s="3" t="str">
        <f>IF(OR(KysymyksetTaulukko3[[#This Row],[Toimiala A]]="K",KysymyksetTaulukko3[[#This Row],[Toimiala B]]="K",KysymyksetTaulukko3[[#This Row],[Toimiala C]]="K",KysymyksetTaulukko3[[#This Row],[Toimiala D]]="K"),"Kuuluu","Ei kuulu")</f>
        <v>Ei kuulu</v>
      </c>
      <c r="I28" s="3" t="str">
        <f>IF(OR(KysymyksetTaulukko3[[#This Row],[Luokka]]="Ei kuulu",KysymyksetTaulukko3[[#This Row],[Toimiala-
kysymys]]="Ei kuulu"), "Ei kuulu", "Kuuluu")</f>
        <v>Ei kuulu</v>
      </c>
      <c r="J28" s="3" t="str">
        <f>IF(KysymyksetTaulukko3[[#This Row],[Luokka + toimiala]]="Kuuluu","a) Oman vesilaitoksen kysymykset","b) Muut kysymykset")</f>
        <v>b) Muut kysymykset</v>
      </c>
      <c r="K28" s="9" t="s">
        <v>123</v>
      </c>
      <c r="L28" s="9" t="s">
        <v>148</v>
      </c>
      <c r="M28" s="61" t="str">
        <f>LEFT(KysymyksetTaulukko3[[#This Row],[Alakategoria_]],2)</f>
        <v>11</v>
      </c>
      <c r="N28" s="107"/>
      <c r="O28" s="70" t="s">
        <v>222</v>
      </c>
      <c r="P28" s="67" t="str">
        <f>IF(AND(KysymyksetTaulukko3[[#This Row],[Luokka]]="Extra",KysymyksetTaulukko3[[#This Row],[Luokka + toimiala]]="Kuuluu"),"Extra","")</f>
        <v/>
      </c>
      <c r="Q28" s="114"/>
      <c r="R28" s="64" t="s">
        <v>149</v>
      </c>
      <c r="S28" s="159"/>
      <c r="T28" s="123">
        <f>IF(AND(KysymyksetTaulukko3[[#This Row],[Luokka + toimiala]]="Kuuluu",KysymyksetTaulukko3[[#This Row],[Vastaus]]="Kyllä"),1,0)</f>
        <v>0</v>
      </c>
      <c r="U28" s="121">
        <f>IF(AND(KysymyksetTaulukko3[[#This Row],[Maksimipisteet]]=1,NOT(ISBLANK(KysymyksetTaulukko3[[#This Row],[Vastaus]]))),1,0)</f>
        <v>0</v>
      </c>
      <c r="V28" s="123">
        <f>IF(OR(KysymyksetTaulukko3[[#This Row],[Luokka + toimiala]]="Ei kuulu",KysymyksetTaulukko3[[#This Row],[Vastaus]]="Ei koske",KysymyksetTaulukko3[[#This Row],[Luokka]]="Extra",KysymyksetTaulukko3[[#This Row],[Otsikkorivi]]="Kyllä"),0,1)</f>
        <v>0</v>
      </c>
    </row>
    <row r="29" spans="1:22" ht="28.5" x14ac:dyDescent="0.35">
      <c r="A29" s="3" t="s">
        <v>12</v>
      </c>
      <c r="B29" s="3" t="str">
        <f>IF(ISNUMBER(SEARCH("," &amp; LV!$B$10 &amp; ",", "," &amp; SUBSTITUTE(A29, " ", "")&amp; ",")),
  "Kuuluu",
  IF(AND(LV!$B$10&gt;=2,
      LV!$B$10&lt;=4,
      OR(ISNUMBER(SEARCH("," &amp;(LV!$B$10+1)&amp; ",", "," &amp; SUBSTITUTE(A29, " ", "")&amp; ",")),
        ISNUMBER(SEARCH("," &amp;(LV!$B$10+2)&amp; ",", "," &amp; SUBSTITUTE(A29, " ", "")&amp; ",")),
        ISNUMBER(SEARCH("," &amp;(LV!$B$10+3)&amp; ",", "," &amp; SUBSTITUTE(A29, " ", "")&amp; ",")),
        ISNUMBER(SEARCH("," &amp;(LV!$B$10+4)&amp; ",", "," &amp; SUBSTITUTE(A29, " ", "")&amp; ",")),
        ISNUMBER(SEARCH("," &amp;(LV!$B$10+5)&amp; ",", "," &amp; SUBSTITUTE(A29, " ", "")&amp; ",")))),
    "Extra",
    "Ei kuulu"))</f>
        <v>Ei kuulu</v>
      </c>
      <c r="C29" s="3" t="s">
        <v>28</v>
      </c>
      <c r="D29" s="3" t="str">
        <f>IF(ISNUMBER(SEARCH(LV!$I$5, Kestävä_ja_kehittyvä!C29)), "K", "E")</f>
        <v>E</v>
      </c>
      <c r="E29" s="3" t="str">
        <f>IF(ISNUMBER(SEARCH(LV!$I$6, Kestävä_ja_kehittyvä!$C29)), "K", "E")</f>
        <v>E</v>
      </c>
      <c r="F29" s="3" t="str">
        <f>IF(ISNUMBER(SEARCH(LV!$I$7, Kestävä_ja_kehittyvä!$C29)), "K", "E")</f>
        <v>E</v>
      </c>
      <c r="G29" s="3" t="str">
        <f>IF(ISNUMBER(SEARCH(LV!$I$8, Kestävä_ja_kehittyvä!$C29)), "K", "E")</f>
        <v>E</v>
      </c>
      <c r="H29" s="3" t="str">
        <f>IF(OR(KysymyksetTaulukko3[[#This Row],[Toimiala A]]="K",KysymyksetTaulukko3[[#This Row],[Toimiala B]]="K",KysymyksetTaulukko3[[#This Row],[Toimiala C]]="K",KysymyksetTaulukko3[[#This Row],[Toimiala D]]="K"),"Kuuluu","Ei kuulu")</f>
        <v>Ei kuulu</v>
      </c>
      <c r="I29" s="3" t="str">
        <f>IF(OR(KysymyksetTaulukko3[[#This Row],[Luokka]]="Ei kuulu",KysymyksetTaulukko3[[#This Row],[Toimiala-
kysymys]]="Ei kuulu"), "Ei kuulu", "Kuuluu")</f>
        <v>Ei kuulu</v>
      </c>
      <c r="J29" s="3" t="str">
        <f>IF(KysymyksetTaulukko3[[#This Row],[Luokka + toimiala]]="Kuuluu","a) Oman vesilaitoksen kysymykset","b) Muut kysymykset")</f>
        <v>b) Muut kysymykset</v>
      </c>
      <c r="K29" s="9" t="s">
        <v>123</v>
      </c>
      <c r="L29" s="9" t="s">
        <v>148</v>
      </c>
      <c r="M29" s="61" t="str">
        <f>LEFT(KysymyksetTaulukko3[[#This Row],[Alakategoria_]],2)</f>
        <v>11</v>
      </c>
      <c r="N29" s="107"/>
      <c r="O29" s="70" t="s">
        <v>222</v>
      </c>
      <c r="P29" s="67" t="str">
        <f>IF(AND(KysymyksetTaulukko3[[#This Row],[Luokka]]="Extra",KysymyksetTaulukko3[[#This Row],[Luokka + toimiala]]="Kuuluu"),"Extra","")</f>
        <v/>
      </c>
      <c r="Q29" s="114"/>
      <c r="R29" s="64" t="s">
        <v>150</v>
      </c>
      <c r="S29" s="159"/>
      <c r="T29" s="123">
        <f>IF(AND(KysymyksetTaulukko3[[#This Row],[Luokka + toimiala]]="Kuuluu",KysymyksetTaulukko3[[#This Row],[Vastaus]]="Kyllä"),1,0)</f>
        <v>0</v>
      </c>
      <c r="U29" s="121">
        <f>IF(AND(KysymyksetTaulukko3[[#This Row],[Maksimipisteet]]=1,NOT(ISBLANK(KysymyksetTaulukko3[[#This Row],[Vastaus]]))),1,0)</f>
        <v>0</v>
      </c>
      <c r="V29" s="123">
        <f>IF(OR(KysymyksetTaulukko3[[#This Row],[Luokka + toimiala]]="Ei kuulu",KysymyksetTaulukko3[[#This Row],[Vastaus]]="Ei koske",KysymyksetTaulukko3[[#This Row],[Luokka]]="Extra",KysymyksetTaulukko3[[#This Row],[Otsikkorivi]]="Kyllä"),0,1)</f>
        <v>0</v>
      </c>
    </row>
    <row r="30" spans="1:22" ht="28.5" x14ac:dyDescent="0.35">
      <c r="A30" s="3" t="s">
        <v>12</v>
      </c>
      <c r="B30" s="3" t="str">
        <f>IF(ISNUMBER(SEARCH("," &amp; LV!$B$10 &amp; ",", "," &amp; SUBSTITUTE(A30, " ", "")&amp; ",")),
  "Kuuluu",
  IF(AND(LV!$B$10&gt;=2,
      LV!$B$10&lt;=4,
      OR(ISNUMBER(SEARCH("," &amp;(LV!$B$10+1)&amp; ",", "," &amp; SUBSTITUTE(A30, " ", "")&amp; ",")),
        ISNUMBER(SEARCH("," &amp;(LV!$B$10+2)&amp; ",", "," &amp; SUBSTITUTE(A30, " ", "")&amp; ",")),
        ISNUMBER(SEARCH("," &amp;(LV!$B$10+3)&amp; ",", "," &amp; SUBSTITUTE(A30, " ", "")&amp; ",")),
        ISNUMBER(SEARCH("," &amp;(LV!$B$10+4)&amp; ",", "," &amp; SUBSTITUTE(A30, " ", "")&amp; ",")),
        ISNUMBER(SEARCH("," &amp;(LV!$B$10+5)&amp; ",", "," &amp; SUBSTITUTE(A30, " ", "")&amp; ",")))),
    "Extra",
    "Ei kuulu"))</f>
        <v>Ei kuulu</v>
      </c>
      <c r="C30" s="3" t="s">
        <v>44</v>
      </c>
      <c r="D30" s="3" t="str">
        <f>IF(ISNUMBER(SEARCH(LV!$I$5, Kestävä_ja_kehittyvä!C30)), "K", "E")</f>
        <v>E</v>
      </c>
      <c r="E30" s="3" t="str">
        <f>IF(ISNUMBER(SEARCH(LV!$I$6, Kestävä_ja_kehittyvä!$C30)), "K", "E")</f>
        <v>E</v>
      </c>
      <c r="F30" s="3" t="str">
        <f>IF(ISNUMBER(SEARCH(LV!$I$7, Kestävä_ja_kehittyvä!$C30)), "K", "E")</f>
        <v>E</v>
      </c>
      <c r="G30" s="3" t="str">
        <f>IF(ISNUMBER(SEARCH(LV!$I$8, Kestävä_ja_kehittyvä!$C30)), "K", "E")</f>
        <v>E</v>
      </c>
      <c r="H30" s="3" t="str">
        <f>IF(OR(KysymyksetTaulukko3[[#This Row],[Toimiala A]]="K",KysymyksetTaulukko3[[#This Row],[Toimiala B]]="K",KysymyksetTaulukko3[[#This Row],[Toimiala C]]="K",KysymyksetTaulukko3[[#This Row],[Toimiala D]]="K"),"Kuuluu","Ei kuulu")</f>
        <v>Ei kuulu</v>
      </c>
      <c r="I30" s="3" t="str">
        <f>IF(OR(KysymyksetTaulukko3[[#This Row],[Luokka]]="Ei kuulu",KysymyksetTaulukko3[[#This Row],[Toimiala-
kysymys]]="Ei kuulu"), "Ei kuulu", "Kuuluu")</f>
        <v>Ei kuulu</v>
      </c>
      <c r="J30" s="3" t="str">
        <f>IF(KysymyksetTaulukko3[[#This Row],[Luokka + toimiala]]="Kuuluu","a) Oman vesilaitoksen kysymykset","b) Muut kysymykset")</f>
        <v>b) Muut kysymykset</v>
      </c>
      <c r="K30" s="9" t="s">
        <v>123</v>
      </c>
      <c r="L30" s="9" t="s">
        <v>148</v>
      </c>
      <c r="M30" s="61" t="str">
        <f>LEFT(KysymyksetTaulukko3[[#This Row],[Alakategoria_]],2)</f>
        <v>11</v>
      </c>
      <c r="N30" s="107"/>
      <c r="O30" s="70" t="s">
        <v>222</v>
      </c>
      <c r="P30" s="67" t="str">
        <f>IF(AND(KysymyksetTaulukko3[[#This Row],[Luokka]]="Extra",KysymyksetTaulukko3[[#This Row],[Luokka + toimiala]]="Kuuluu"),"Extra","")</f>
        <v/>
      </c>
      <c r="Q30" s="114"/>
      <c r="R30" s="64" t="s">
        <v>151</v>
      </c>
      <c r="S30" s="159"/>
      <c r="T30" s="123">
        <f>IF(AND(KysymyksetTaulukko3[[#This Row],[Luokka + toimiala]]="Kuuluu",KysymyksetTaulukko3[[#This Row],[Vastaus]]="Kyllä"),1,0)</f>
        <v>0</v>
      </c>
      <c r="U30" s="121">
        <f>IF(AND(KysymyksetTaulukko3[[#This Row],[Maksimipisteet]]=1,NOT(ISBLANK(KysymyksetTaulukko3[[#This Row],[Vastaus]]))),1,0)</f>
        <v>0</v>
      </c>
      <c r="V30" s="123">
        <f>IF(OR(KysymyksetTaulukko3[[#This Row],[Luokka + toimiala]]="Ei kuulu",KysymyksetTaulukko3[[#This Row],[Vastaus]]="Ei koske",KysymyksetTaulukko3[[#This Row],[Luokka]]="Extra",KysymyksetTaulukko3[[#This Row],[Otsikkorivi]]="Kyllä"),0,1)</f>
        <v>0</v>
      </c>
    </row>
    <row r="31" spans="1:22" ht="28.5" x14ac:dyDescent="0.35">
      <c r="A31" s="3" t="s">
        <v>19</v>
      </c>
      <c r="B31" s="3" t="str">
        <f>IF(ISNUMBER(SEARCH("," &amp; LV!$B$10 &amp; ",", "," &amp; SUBSTITUTE(A31, " ", "")&amp; ",")),
  "Kuuluu",
  IF(AND(LV!$B$10&gt;=2,
      LV!$B$10&lt;=4,
      OR(ISNUMBER(SEARCH("," &amp;(LV!$B$10+1)&amp; ",", "," &amp; SUBSTITUTE(A31, " ", "")&amp; ",")),
        ISNUMBER(SEARCH("," &amp;(LV!$B$10+2)&amp; ",", "," &amp; SUBSTITUTE(A31, " ", "")&amp; ",")),
        ISNUMBER(SEARCH("," &amp;(LV!$B$10+3)&amp; ",", "," &amp; SUBSTITUTE(A31, " ", "")&amp; ",")),
        ISNUMBER(SEARCH("," &amp;(LV!$B$10+4)&amp; ",", "," &amp; SUBSTITUTE(A31, " ", "")&amp; ",")),
        ISNUMBER(SEARCH("," &amp;(LV!$B$10+5)&amp; ",", "," &amp; SUBSTITUTE(A31, " ", "")&amp; ",")))),
    "Extra",
    "Ei kuulu"))</f>
        <v>Ei kuulu</v>
      </c>
      <c r="C31" s="3" t="s">
        <v>44</v>
      </c>
      <c r="D31" s="3" t="str">
        <f>IF(ISNUMBER(SEARCH(LV!$I$5, Kestävä_ja_kehittyvä!C31)), "K", "E")</f>
        <v>E</v>
      </c>
      <c r="E31" s="3" t="str">
        <f>IF(ISNUMBER(SEARCH(LV!$I$6, Kestävä_ja_kehittyvä!$C31)), "K", "E")</f>
        <v>E</v>
      </c>
      <c r="F31" s="3" t="str">
        <f>IF(ISNUMBER(SEARCH(LV!$I$7, Kestävä_ja_kehittyvä!$C31)), "K", "E")</f>
        <v>E</v>
      </c>
      <c r="G31" s="3" t="str">
        <f>IF(ISNUMBER(SEARCH(LV!$I$8, Kestävä_ja_kehittyvä!$C31)), "K", "E")</f>
        <v>E</v>
      </c>
      <c r="H31" s="3" t="str">
        <f>IF(OR(KysymyksetTaulukko3[[#This Row],[Toimiala A]]="K",KysymyksetTaulukko3[[#This Row],[Toimiala B]]="K",KysymyksetTaulukko3[[#This Row],[Toimiala C]]="K",KysymyksetTaulukko3[[#This Row],[Toimiala D]]="K"),"Kuuluu","Ei kuulu")</f>
        <v>Ei kuulu</v>
      </c>
      <c r="I31" s="3" t="str">
        <f>IF(OR(KysymyksetTaulukko3[[#This Row],[Luokka]]="Ei kuulu",KysymyksetTaulukko3[[#This Row],[Toimiala-
kysymys]]="Ei kuulu"), "Ei kuulu", "Kuuluu")</f>
        <v>Ei kuulu</v>
      </c>
      <c r="J31" s="3" t="str">
        <f>IF(KysymyksetTaulukko3[[#This Row],[Luokka + toimiala]]="Kuuluu","a) Oman vesilaitoksen kysymykset","b) Muut kysymykset")</f>
        <v>b) Muut kysymykset</v>
      </c>
      <c r="K31" s="9" t="s">
        <v>123</v>
      </c>
      <c r="L31" s="9" t="s">
        <v>148</v>
      </c>
      <c r="M31" s="61" t="str">
        <f>LEFT(KysymyksetTaulukko3[[#This Row],[Alakategoria_]],2)</f>
        <v>11</v>
      </c>
      <c r="N31" s="107"/>
      <c r="O31" s="70" t="s">
        <v>222</v>
      </c>
      <c r="P31" s="67" t="str">
        <f>IF(AND(KysymyksetTaulukko3[[#This Row],[Luokka]]="Extra",KysymyksetTaulukko3[[#This Row],[Luokka + toimiala]]="Kuuluu"),"Extra","")</f>
        <v/>
      </c>
      <c r="Q31" s="114"/>
      <c r="R31" s="64" t="s">
        <v>152</v>
      </c>
      <c r="S31" s="159"/>
      <c r="T31" s="123">
        <f>IF(AND(KysymyksetTaulukko3[[#This Row],[Luokka + toimiala]]="Kuuluu",KysymyksetTaulukko3[[#This Row],[Vastaus]]="Kyllä"),1,0)</f>
        <v>0</v>
      </c>
      <c r="U31" s="121">
        <f>IF(AND(KysymyksetTaulukko3[[#This Row],[Maksimipisteet]]=1,NOT(ISBLANK(KysymyksetTaulukko3[[#This Row],[Vastaus]]))),1,0)</f>
        <v>0</v>
      </c>
      <c r="V31" s="123">
        <f>IF(OR(KysymyksetTaulukko3[[#This Row],[Luokka + toimiala]]="Ei kuulu",KysymyksetTaulukko3[[#This Row],[Vastaus]]="Ei koske",KysymyksetTaulukko3[[#This Row],[Luokka]]="Extra",KysymyksetTaulukko3[[#This Row],[Otsikkorivi]]="Kyllä"),0,1)</f>
        <v>0</v>
      </c>
    </row>
    <row r="32" spans="1:22" ht="43.5" x14ac:dyDescent="0.35">
      <c r="A32" s="3" t="s">
        <v>19</v>
      </c>
      <c r="B32" s="3" t="str">
        <f>IF(ISNUMBER(SEARCH("," &amp; LV!$B$10 &amp; ",", "," &amp; SUBSTITUTE(A32, " ", "")&amp; ",")),
  "Kuuluu",
  IF(AND(LV!$B$10&gt;=2,
      LV!$B$10&lt;=4,
      OR(ISNUMBER(SEARCH("," &amp;(LV!$B$10+1)&amp; ",", "," &amp; SUBSTITUTE(A32, " ", "")&amp; ",")),
        ISNUMBER(SEARCH("," &amp;(LV!$B$10+2)&amp; ",", "," &amp; SUBSTITUTE(A32, " ", "")&amp; ",")),
        ISNUMBER(SEARCH("," &amp;(LV!$B$10+3)&amp; ",", "," &amp; SUBSTITUTE(A32, " ", "")&amp; ",")),
        ISNUMBER(SEARCH("," &amp;(LV!$B$10+4)&amp; ",", "," &amp; SUBSTITUTE(A32, " ", "")&amp; ",")),
        ISNUMBER(SEARCH("," &amp;(LV!$B$10+5)&amp; ",", "," &amp; SUBSTITUTE(A32, " ", "")&amp; ",")))),
    "Extra",
    "Ei kuulu"))</f>
        <v>Ei kuulu</v>
      </c>
      <c r="C32" s="3" t="s">
        <v>44</v>
      </c>
      <c r="D32" s="3" t="str">
        <f>IF(ISNUMBER(SEARCH(LV!$I$5, Kestävä_ja_kehittyvä!C32)), "K", "E")</f>
        <v>E</v>
      </c>
      <c r="E32" s="3" t="str">
        <f>IF(ISNUMBER(SEARCH(LV!$I$6, Kestävä_ja_kehittyvä!$C32)), "K", "E")</f>
        <v>E</v>
      </c>
      <c r="F32" s="3" t="str">
        <f>IF(ISNUMBER(SEARCH(LV!$I$7, Kestävä_ja_kehittyvä!$C32)), "K", "E")</f>
        <v>E</v>
      </c>
      <c r="G32" s="3" t="str">
        <f>IF(ISNUMBER(SEARCH(LV!$I$8, Kestävä_ja_kehittyvä!$C32)), "K", "E")</f>
        <v>E</v>
      </c>
      <c r="H32" s="3" t="str">
        <f>IF(OR(KysymyksetTaulukko3[[#This Row],[Toimiala A]]="K",KysymyksetTaulukko3[[#This Row],[Toimiala B]]="K",KysymyksetTaulukko3[[#This Row],[Toimiala C]]="K",KysymyksetTaulukko3[[#This Row],[Toimiala D]]="K"),"Kuuluu","Ei kuulu")</f>
        <v>Ei kuulu</v>
      </c>
      <c r="I32" s="3" t="str">
        <f>IF(OR(KysymyksetTaulukko3[[#This Row],[Luokka]]="Ei kuulu",KysymyksetTaulukko3[[#This Row],[Toimiala-
kysymys]]="Ei kuulu"), "Ei kuulu", "Kuuluu")</f>
        <v>Ei kuulu</v>
      </c>
      <c r="J32" s="3" t="str">
        <f>IF(KysymyksetTaulukko3[[#This Row],[Luokka + toimiala]]="Kuuluu","a) Oman vesilaitoksen kysymykset","b) Muut kysymykset")</f>
        <v>b) Muut kysymykset</v>
      </c>
      <c r="K32" s="9" t="s">
        <v>123</v>
      </c>
      <c r="L32" s="9" t="s">
        <v>148</v>
      </c>
      <c r="M32" s="61" t="str">
        <f>LEFT(KysymyksetTaulukko3[[#This Row],[Alakategoria_]],2)</f>
        <v>11</v>
      </c>
      <c r="N32" s="107"/>
      <c r="O32" s="70" t="s">
        <v>222</v>
      </c>
      <c r="P32" s="67" t="str">
        <f>IF(AND(KysymyksetTaulukko3[[#This Row],[Luokka]]="Extra",KysymyksetTaulukko3[[#This Row],[Luokka + toimiala]]="Kuuluu"),"Extra","")</f>
        <v/>
      </c>
      <c r="Q32" s="114"/>
      <c r="R32" s="64" t="s">
        <v>153</v>
      </c>
      <c r="S32" s="159"/>
      <c r="T32" s="123">
        <f>IF(AND(KysymyksetTaulukko3[[#This Row],[Luokka + toimiala]]="Kuuluu",KysymyksetTaulukko3[[#This Row],[Vastaus]]="Kyllä"),1,0)</f>
        <v>0</v>
      </c>
      <c r="U32" s="121">
        <f>IF(AND(KysymyksetTaulukko3[[#This Row],[Maksimipisteet]]=1,NOT(ISBLANK(KysymyksetTaulukko3[[#This Row],[Vastaus]]))),1,0)</f>
        <v>0</v>
      </c>
      <c r="V32" s="123">
        <f>IF(OR(KysymyksetTaulukko3[[#This Row],[Luokka + toimiala]]="Ei kuulu",KysymyksetTaulukko3[[#This Row],[Vastaus]]="Ei koske",KysymyksetTaulukko3[[#This Row],[Luokka]]="Extra",KysymyksetTaulukko3[[#This Row],[Otsikkorivi]]="Kyllä"),0,1)</f>
        <v>0</v>
      </c>
    </row>
    <row r="33" spans="1:22" ht="28.5" x14ac:dyDescent="0.35">
      <c r="A33" s="3">
        <v>2</v>
      </c>
      <c r="B33" s="3" t="str">
        <f>IF(ISNUMBER(SEARCH("," &amp; LV!$B$10 &amp; ",", "," &amp; SUBSTITUTE(A33, " ", "")&amp; ",")),
  "Kuuluu",
  IF(AND(LV!$B$10&gt;=2,
      LV!$B$10&lt;=4,
      OR(ISNUMBER(SEARCH("," &amp;(LV!$B$10+1)&amp; ",", "," &amp; SUBSTITUTE(A33, " ", "")&amp; ",")),
        ISNUMBER(SEARCH("," &amp;(LV!$B$10+2)&amp; ",", "," &amp; SUBSTITUTE(A33, " ", "")&amp; ",")),
        ISNUMBER(SEARCH("," &amp;(LV!$B$10+3)&amp; ",", "," &amp; SUBSTITUTE(A33, " ", "")&amp; ",")),
        ISNUMBER(SEARCH("," &amp;(LV!$B$10+4)&amp; ",", "," &amp; SUBSTITUTE(A33, " ", "")&amp; ",")),
        ISNUMBER(SEARCH("," &amp;(LV!$B$10+5)&amp; ",", "," &amp; SUBSTITUTE(A33, " ", "")&amp; ",")))),
    "Extra",
    "Ei kuulu"))</f>
        <v>Ei kuulu</v>
      </c>
      <c r="C33" s="3" t="s">
        <v>44</v>
      </c>
      <c r="D33" s="3" t="str">
        <f>IF(ISNUMBER(SEARCH(LV!$I$5, Kestävä_ja_kehittyvä!C33)), "K", "E")</f>
        <v>E</v>
      </c>
      <c r="E33" s="3" t="str">
        <f>IF(ISNUMBER(SEARCH(LV!$I$6, Kestävä_ja_kehittyvä!$C33)), "K", "E")</f>
        <v>E</v>
      </c>
      <c r="F33" s="3" t="str">
        <f>IF(ISNUMBER(SEARCH(LV!$I$7, Kestävä_ja_kehittyvä!$C33)), "K", "E")</f>
        <v>E</v>
      </c>
      <c r="G33" s="3" t="str">
        <f>IF(ISNUMBER(SEARCH(LV!$I$8, Kestävä_ja_kehittyvä!$C33)), "K", "E")</f>
        <v>E</v>
      </c>
      <c r="H33" s="3" t="str">
        <f>IF(OR(KysymyksetTaulukko3[[#This Row],[Toimiala A]]="K",KysymyksetTaulukko3[[#This Row],[Toimiala B]]="K",KysymyksetTaulukko3[[#This Row],[Toimiala C]]="K",KysymyksetTaulukko3[[#This Row],[Toimiala D]]="K"),"Kuuluu","Ei kuulu")</f>
        <v>Ei kuulu</v>
      </c>
      <c r="I33" s="3" t="str">
        <f>IF(OR(KysymyksetTaulukko3[[#This Row],[Luokka]]="Ei kuulu",KysymyksetTaulukko3[[#This Row],[Toimiala-
kysymys]]="Ei kuulu"), "Ei kuulu", "Kuuluu")</f>
        <v>Ei kuulu</v>
      </c>
      <c r="J33" s="3" t="str">
        <f>IF(KysymyksetTaulukko3[[#This Row],[Luokka + toimiala]]="Kuuluu","a) Oman vesilaitoksen kysymykset","b) Muut kysymykset")</f>
        <v>b) Muut kysymykset</v>
      </c>
      <c r="K33" s="9" t="s">
        <v>123</v>
      </c>
      <c r="L33" s="9" t="s">
        <v>148</v>
      </c>
      <c r="M33" s="61" t="str">
        <f>LEFT(KysymyksetTaulukko3[[#This Row],[Alakategoria_]],2)</f>
        <v>11</v>
      </c>
      <c r="N33" s="107"/>
      <c r="O33" s="70" t="s">
        <v>222</v>
      </c>
      <c r="P33" s="67" t="str">
        <f>IF(AND(KysymyksetTaulukko3[[#This Row],[Luokka]]="Extra",KysymyksetTaulukko3[[#This Row],[Luokka + toimiala]]="Kuuluu"),"Extra","")</f>
        <v/>
      </c>
      <c r="Q33" s="114"/>
      <c r="R33" s="64" t="s">
        <v>154</v>
      </c>
      <c r="S33" s="159"/>
      <c r="T33" s="123">
        <f>IF(AND(KysymyksetTaulukko3[[#This Row],[Luokka + toimiala]]="Kuuluu",KysymyksetTaulukko3[[#This Row],[Vastaus]]="Kyllä"),1,0)</f>
        <v>0</v>
      </c>
      <c r="U33" s="121">
        <f>IF(AND(KysymyksetTaulukko3[[#This Row],[Maksimipisteet]]=1,NOT(ISBLANK(KysymyksetTaulukko3[[#This Row],[Vastaus]]))),1,0)</f>
        <v>0</v>
      </c>
      <c r="V33" s="123">
        <f>IF(OR(KysymyksetTaulukko3[[#This Row],[Luokka + toimiala]]="Ei kuulu",KysymyksetTaulukko3[[#This Row],[Vastaus]]="Ei koske",KysymyksetTaulukko3[[#This Row],[Luokka]]="Extra",KysymyksetTaulukko3[[#This Row],[Otsikkorivi]]="Kyllä"),0,1)</f>
        <v>0</v>
      </c>
    </row>
    <row r="34" spans="1:22" ht="28.5" x14ac:dyDescent="0.35">
      <c r="A34" s="3">
        <v>3</v>
      </c>
      <c r="B34" s="3" t="str">
        <f>IF(ISNUMBER(SEARCH("," &amp; LV!$B$10 &amp; ",", "," &amp; SUBSTITUTE(A34, " ", "")&amp; ",")),
  "Kuuluu",
  IF(AND(LV!$B$10&gt;=2,
      LV!$B$10&lt;=4,
      OR(ISNUMBER(SEARCH("," &amp;(LV!$B$10+1)&amp; ",", "," &amp; SUBSTITUTE(A34, " ", "")&amp; ",")),
        ISNUMBER(SEARCH("," &amp;(LV!$B$10+2)&amp; ",", "," &amp; SUBSTITUTE(A34, " ", "")&amp; ",")),
        ISNUMBER(SEARCH("," &amp;(LV!$B$10+3)&amp; ",", "," &amp; SUBSTITUTE(A34, " ", "")&amp; ",")),
        ISNUMBER(SEARCH("," &amp;(LV!$B$10+4)&amp; ",", "," &amp; SUBSTITUTE(A34, " ", "")&amp; ",")),
        ISNUMBER(SEARCH("," &amp;(LV!$B$10+5)&amp; ",", "," &amp; SUBSTITUTE(A34, " ", "")&amp; ",")))),
    "Extra",
    "Ei kuulu"))</f>
        <v>Ei kuulu</v>
      </c>
      <c r="C34" s="3" t="s">
        <v>44</v>
      </c>
      <c r="D34" s="3" t="str">
        <f>IF(ISNUMBER(SEARCH(LV!$I$5, Kestävä_ja_kehittyvä!C34)), "K", "E")</f>
        <v>E</v>
      </c>
      <c r="E34" s="3" t="str">
        <f>IF(ISNUMBER(SEARCH(LV!$I$6, Kestävä_ja_kehittyvä!$C34)), "K", "E")</f>
        <v>E</v>
      </c>
      <c r="F34" s="3" t="str">
        <f>IF(ISNUMBER(SEARCH(LV!$I$7, Kestävä_ja_kehittyvä!$C34)), "K", "E")</f>
        <v>E</v>
      </c>
      <c r="G34" s="3" t="str">
        <f>IF(ISNUMBER(SEARCH(LV!$I$8, Kestävä_ja_kehittyvä!$C34)), "K", "E")</f>
        <v>E</v>
      </c>
      <c r="H34" s="3" t="str">
        <f>IF(OR(KysymyksetTaulukko3[[#This Row],[Toimiala A]]="K",KysymyksetTaulukko3[[#This Row],[Toimiala B]]="K",KysymyksetTaulukko3[[#This Row],[Toimiala C]]="K",KysymyksetTaulukko3[[#This Row],[Toimiala D]]="K"),"Kuuluu","Ei kuulu")</f>
        <v>Ei kuulu</v>
      </c>
      <c r="I34" s="3" t="str">
        <f>IF(OR(KysymyksetTaulukko3[[#This Row],[Luokka]]="Ei kuulu",KysymyksetTaulukko3[[#This Row],[Toimiala-
kysymys]]="Ei kuulu"), "Ei kuulu", "Kuuluu")</f>
        <v>Ei kuulu</v>
      </c>
      <c r="J34" s="3" t="str">
        <f>IF(KysymyksetTaulukko3[[#This Row],[Luokka + toimiala]]="Kuuluu","a) Oman vesilaitoksen kysymykset","b) Muut kysymykset")</f>
        <v>b) Muut kysymykset</v>
      </c>
      <c r="K34" s="9" t="s">
        <v>123</v>
      </c>
      <c r="L34" s="9" t="s">
        <v>148</v>
      </c>
      <c r="M34" s="61" t="str">
        <f>LEFT(KysymyksetTaulukko3[[#This Row],[Alakategoria_]],2)</f>
        <v>11</v>
      </c>
      <c r="N34" s="107"/>
      <c r="O34" s="70" t="s">
        <v>222</v>
      </c>
      <c r="P34" s="67" t="str">
        <f>IF(AND(KysymyksetTaulukko3[[#This Row],[Luokka]]="Extra",KysymyksetTaulukko3[[#This Row],[Luokka + toimiala]]="Kuuluu"),"Extra","")</f>
        <v/>
      </c>
      <c r="Q34" s="114"/>
      <c r="R34" s="64" t="s">
        <v>155</v>
      </c>
      <c r="S34" s="159"/>
      <c r="T34" s="123">
        <f>IF(AND(KysymyksetTaulukko3[[#This Row],[Luokka + toimiala]]="Kuuluu",KysymyksetTaulukko3[[#This Row],[Vastaus]]="Kyllä"),1,0)</f>
        <v>0</v>
      </c>
      <c r="U34" s="121">
        <f>IF(AND(KysymyksetTaulukko3[[#This Row],[Maksimipisteet]]=1,NOT(ISBLANK(KysymyksetTaulukko3[[#This Row],[Vastaus]]))),1,0)</f>
        <v>0</v>
      </c>
      <c r="V34" s="123">
        <f>IF(OR(KysymyksetTaulukko3[[#This Row],[Luokka + toimiala]]="Ei kuulu",KysymyksetTaulukko3[[#This Row],[Vastaus]]="Ei koske",KysymyksetTaulukko3[[#This Row],[Luokka]]="Extra",KysymyksetTaulukko3[[#This Row],[Otsikkorivi]]="Kyllä"),0,1)</f>
        <v>0</v>
      </c>
    </row>
    <row r="35" spans="1:22" ht="28.5" x14ac:dyDescent="0.35">
      <c r="A35" s="3">
        <v>4</v>
      </c>
      <c r="B35" s="3" t="str">
        <f>IF(ISNUMBER(SEARCH("," &amp; LV!$B$10 &amp; ",", "," &amp; SUBSTITUTE(A35, " ", "")&amp; ",")),
  "Kuuluu",
  IF(AND(LV!$B$10&gt;=2,
      LV!$B$10&lt;=4,
      OR(ISNUMBER(SEARCH("," &amp;(LV!$B$10+1)&amp; ",", "," &amp; SUBSTITUTE(A35, " ", "")&amp; ",")),
        ISNUMBER(SEARCH("," &amp;(LV!$B$10+2)&amp; ",", "," &amp; SUBSTITUTE(A35, " ", "")&amp; ",")),
        ISNUMBER(SEARCH("," &amp;(LV!$B$10+3)&amp; ",", "," &amp; SUBSTITUTE(A35, " ", "")&amp; ",")),
        ISNUMBER(SEARCH("," &amp;(LV!$B$10+4)&amp; ",", "," &amp; SUBSTITUTE(A35, " ", "")&amp; ",")),
        ISNUMBER(SEARCH("," &amp;(LV!$B$10+5)&amp; ",", "," &amp; SUBSTITUTE(A35, " ", "")&amp; ",")))),
    "Extra",
    "Ei kuulu"))</f>
        <v>Ei kuulu</v>
      </c>
      <c r="C35" s="3" t="s">
        <v>44</v>
      </c>
      <c r="D35" s="3" t="str">
        <f>IF(ISNUMBER(SEARCH(LV!$I$5, Kestävä_ja_kehittyvä!C35)), "K", "E")</f>
        <v>E</v>
      </c>
      <c r="E35" s="3" t="str">
        <f>IF(ISNUMBER(SEARCH(LV!$I$6, Kestävä_ja_kehittyvä!$C35)), "K", "E")</f>
        <v>E</v>
      </c>
      <c r="F35" s="3" t="str">
        <f>IF(ISNUMBER(SEARCH(LV!$I$7, Kestävä_ja_kehittyvä!$C35)), "K", "E")</f>
        <v>E</v>
      </c>
      <c r="G35" s="3" t="str">
        <f>IF(ISNUMBER(SEARCH(LV!$I$8, Kestävä_ja_kehittyvä!$C35)), "K", "E")</f>
        <v>E</v>
      </c>
      <c r="H35" s="3" t="str">
        <f>IF(OR(KysymyksetTaulukko3[[#This Row],[Toimiala A]]="K",KysymyksetTaulukko3[[#This Row],[Toimiala B]]="K",KysymyksetTaulukko3[[#This Row],[Toimiala C]]="K",KysymyksetTaulukko3[[#This Row],[Toimiala D]]="K"),"Kuuluu","Ei kuulu")</f>
        <v>Ei kuulu</v>
      </c>
      <c r="I35" s="3" t="str">
        <f>IF(OR(KysymyksetTaulukko3[[#This Row],[Luokka]]="Ei kuulu",KysymyksetTaulukko3[[#This Row],[Toimiala-
kysymys]]="Ei kuulu"), "Ei kuulu", "Kuuluu")</f>
        <v>Ei kuulu</v>
      </c>
      <c r="J35" s="3" t="str">
        <f>IF(KysymyksetTaulukko3[[#This Row],[Luokka + toimiala]]="Kuuluu","a) Oman vesilaitoksen kysymykset","b) Muut kysymykset")</f>
        <v>b) Muut kysymykset</v>
      </c>
      <c r="K35" s="9" t="s">
        <v>123</v>
      </c>
      <c r="L35" s="9" t="s">
        <v>148</v>
      </c>
      <c r="M35" s="61" t="str">
        <f>LEFT(KysymyksetTaulukko3[[#This Row],[Alakategoria_]],2)</f>
        <v>11</v>
      </c>
      <c r="N35" s="107"/>
      <c r="O35" s="70" t="s">
        <v>222</v>
      </c>
      <c r="P35" s="67" t="str">
        <f>IF(AND(KysymyksetTaulukko3[[#This Row],[Luokka]]="Extra",KysymyksetTaulukko3[[#This Row],[Luokka + toimiala]]="Kuuluu"),"Extra","")</f>
        <v/>
      </c>
      <c r="Q35" s="114"/>
      <c r="R35" s="64" t="s">
        <v>156</v>
      </c>
      <c r="S35" s="159"/>
      <c r="T35" s="123">
        <f>IF(AND(KysymyksetTaulukko3[[#This Row],[Luokka + toimiala]]="Kuuluu",KysymyksetTaulukko3[[#This Row],[Vastaus]]="Kyllä"),1,0)</f>
        <v>0</v>
      </c>
      <c r="U35" s="121">
        <f>IF(AND(KysymyksetTaulukko3[[#This Row],[Maksimipisteet]]=1,NOT(ISBLANK(KysymyksetTaulukko3[[#This Row],[Vastaus]]))),1,0)</f>
        <v>0</v>
      </c>
      <c r="V35" s="123">
        <f>IF(OR(KysymyksetTaulukko3[[#This Row],[Luokka + toimiala]]="Ei kuulu",KysymyksetTaulukko3[[#This Row],[Vastaus]]="Ei koske",KysymyksetTaulukko3[[#This Row],[Luokka]]="Extra",KysymyksetTaulukko3[[#This Row],[Otsikkorivi]]="Kyllä"),0,1)</f>
        <v>0</v>
      </c>
    </row>
    <row r="36" spans="1:22" ht="28.5" x14ac:dyDescent="0.35">
      <c r="A36" s="3">
        <v>3.4</v>
      </c>
      <c r="B36" s="3" t="str">
        <f>IF(ISNUMBER(SEARCH("," &amp; LV!$B$10 &amp; ",", "," &amp; SUBSTITUTE(A36, " ", "")&amp; ",")),
  "Kuuluu",
  IF(AND(LV!$B$10&gt;=2,
      LV!$B$10&lt;=4,
      OR(ISNUMBER(SEARCH("," &amp;(LV!$B$10+1)&amp; ",", "," &amp; SUBSTITUTE(A36, " ", "")&amp; ",")),
        ISNUMBER(SEARCH("," &amp;(LV!$B$10+2)&amp; ",", "," &amp; SUBSTITUTE(A36, " ", "")&amp; ",")),
        ISNUMBER(SEARCH("," &amp;(LV!$B$10+3)&amp; ",", "," &amp; SUBSTITUTE(A36, " ", "")&amp; ",")),
        ISNUMBER(SEARCH("," &amp;(LV!$B$10+4)&amp; ",", "," &amp; SUBSTITUTE(A36, " ", "")&amp; ",")),
        ISNUMBER(SEARCH("," &amp;(LV!$B$10+5)&amp; ",", "," &amp; SUBSTITUTE(A36, " ", "")&amp; ",")))),
    "Extra",
    "Ei kuulu"))</f>
        <v>Ei kuulu</v>
      </c>
      <c r="C36" s="3" t="s">
        <v>44</v>
      </c>
      <c r="D36" s="3" t="str">
        <f>IF(ISNUMBER(SEARCH(LV!$I$5, Kestävä_ja_kehittyvä!C36)), "K", "E")</f>
        <v>E</v>
      </c>
      <c r="E36" s="3" t="str">
        <f>IF(ISNUMBER(SEARCH(LV!$I$6, Kestävä_ja_kehittyvä!$C36)), "K", "E")</f>
        <v>E</v>
      </c>
      <c r="F36" s="3" t="str">
        <f>IF(ISNUMBER(SEARCH(LV!$I$7, Kestävä_ja_kehittyvä!$C36)), "K", "E")</f>
        <v>E</v>
      </c>
      <c r="G36" s="3" t="str">
        <f>IF(ISNUMBER(SEARCH(LV!$I$8, Kestävä_ja_kehittyvä!$C36)), "K", "E")</f>
        <v>E</v>
      </c>
      <c r="H36" s="3" t="str">
        <f>IF(OR(KysymyksetTaulukko3[[#This Row],[Toimiala A]]="K",KysymyksetTaulukko3[[#This Row],[Toimiala B]]="K",KysymyksetTaulukko3[[#This Row],[Toimiala C]]="K",KysymyksetTaulukko3[[#This Row],[Toimiala D]]="K"),"Kuuluu","Ei kuulu")</f>
        <v>Ei kuulu</v>
      </c>
      <c r="I36" s="3" t="str">
        <f>IF(OR(KysymyksetTaulukko3[[#This Row],[Luokka]]="Ei kuulu",KysymyksetTaulukko3[[#This Row],[Toimiala-
kysymys]]="Ei kuulu"), "Ei kuulu", "Kuuluu")</f>
        <v>Ei kuulu</v>
      </c>
      <c r="J36" s="3" t="str">
        <f>IF(KysymyksetTaulukko3[[#This Row],[Luokka + toimiala]]="Kuuluu","a) Oman vesilaitoksen kysymykset","b) Muut kysymykset")</f>
        <v>b) Muut kysymykset</v>
      </c>
      <c r="K36" s="9" t="s">
        <v>123</v>
      </c>
      <c r="L36" s="9" t="s">
        <v>148</v>
      </c>
      <c r="M36" s="61" t="str">
        <f>LEFT(KysymyksetTaulukko3[[#This Row],[Alakategoria_]],2)</f>
        <v>11</v>
      </c>
      <c r="N36" s="107"/>
      <c r="O36" s="70" t="s">
        <v>222</v>
      </c>
      <c r="P36" s="67" t="str">
        <f>IF(AND(KysymyksetTaulukko3[[#This Row],[Luokka]]="Extra",KysymyksetTaulukko3[[#This Row],[Luokka + toimiala]]="Kuuluu"),"Extra","")</f>
        <v/>
      </c>
      <c r="Q36" s="114"/>
      <c r="R36" s="64" t="s">
        <v>157</v>
      </c>
      <c r="S36" s="159"/>
      <c r="T36" s="123">
        <f>IF(AND(KysymyksetTaulukko3[[#This Row],[Luokka + toimiala]]="Kuuluu",KysymyksetTaulukko3[[#This Row],[Vastaus]]="Kyllä"),1,0)</f>
        <v>0</v>
      </c>
      <c r="U36" s="121">
        <f>IF(AND(KysymyksetTaulukko3[[#This Row],[Maksimipisteet]]=1,NOT(ISBLANK(KysymyksetTaulukko3[[#This Row],[Vastaus]]))),1,0)</f>
        <v>0</v>
      </c>
      <c r="V36" s="123">
        <f>IF(OR(KysymyksetTaulukko3[[#This Row],[Luokka + toimiala]]="Ei kuulu",KysymyksetTaulukko3[[#This Row],[Vastaus]]="Ei koske",KysymyksetTaulukko3[[#This Row],[Luokka]]="Extra",KysymyksetTaulukko3[[#This Row],[Otsikkorivi]]="Kyllä"),0,1)</f>
        <v>0</v>
      </c>
    </row>
    <row r="37" spans="1:22" ht="28.5" x14ac:dyDescent="0.35">
      <c r="A37" s="3">
        <v>3.4</v>
      </c>
      <c r="B37" s="3" t="str">
        <f>IF(ISNUMBER(SEARCH("," &amp; LV!$B$10 &amp; ",", "," &amp; SUBSTITUTE(A37, " ", "")&amp; ",")),
  "Kuuluu",
  IF(AND(LV!$B$10&gt;=2,
      LV!$B$10&lt;=4,
      OR(ISNUMBER(SEARCH("," &amp;(LV!$B$10+1)&amp; ",", "," &amp; SUBSTITUTE(A37, " ", "")&amp; ",")),
        ISNUMBER(SEARCH("," &amp;(LV!$B$10+2)&amp; ",", "," &amp; SUBSTITUTE(A37, " ", "")&amp; ",")),
        ISNUMBER(SEARCH("," &amp;(LV!$B$10+3)&amp; ",", "," &amp; SUBSTITUTE(A37, " ", "")&amp; ",")),
        ISNUMBER(SEARCH("," &amp;(LV!$B$10+4)&amp; ",", "," &amp; SUBSTITUTE(A37, " ", "")&amp; ",")),
        ISNUMBER(SEARCH("," &amp;(LV!$B$10+5)&amp; ",", "," &amp; SUBSTITUTE(A37, " ", "")&amp; ",")))),
    "Extra",
    "Ei kuulu"))</f>
        <v>Ei kuulu</v>
      </c>
      <c r="C37" s="3" t="s">
        <v>44</v>
      </c>
      <c r="D37" s="3" t="str">
        <f>IF(ISNUMBER(SEARCH(LV!$I$5, Kestävä_ja_kehittyvä!C37)), "K", "E")</f>
        <v>E</v>
      </c>
      <c r="E37" s="3" t="str">
        <f>IF(ISNUMBER(SEARCH(LV!$I$6, Kestävä_ja_kehittyvä!$C37)), "K", "E")</f>
        <v>E</v>
      </c>
      <c r="F37" s="3" t="str">
        <f>IF(ISNUMBER(SEARCH(LV!$I$7, Kestävä_ja_kehittyvä!$C37)), "K", "E")</f>
        <v>E</v>
      </c>
      <c r="G37" s="3" t="str">
        <f>IF(ISNUMBER(SEARCH(LV!$I$8, Kestävä_ja_kehittyvä!$C37)), "K", "E")</f>
        <v>E</v>
      </c>
      <c r="H37" s="3" t="str">
        <f>IF(OR(KysymyksetTaulukko3[[#This Row],[Toimiala A]]="K",KysymyksetTaulukko3[[#This Row],[Toimiala B]]="K",KysymyksetTaulukko3[[#This Row],[Toimiala C]]="K",KysymyksetTaulukko3[[#This Row],[Toimiala D]]="K"),"Kuuluu","Ei kuulu")</f>
        <v>Ei kuulu</v>
      </c>
      <c r="I37" s="3" t="str">
        <f>IF(OR(KysymyksetTaulukko3[[#This Row],[Luokka]]="Ei kuulu",KysymyksetTaulukko3[[#This Row],[Toimiala-
kysymys]]="Ei kuulu"), "Ei kuulu", "Kuuluu")</f>
        <v>Ei kuulu</v>
      </c>
      <c r="J37" s="3" t="str">
        <f>IF(KysymyksetTaulukko3[[#This Row],[Luokka + toimiala]]="Kuuluu","a) Oman vesilaitoksen kysymykset","b) Muut kysymykset")</f>
        <v>b) Muut kysymykset</v>
      </c>
      <c r="K37" s="9" t="s">
        <v>123</v>
      </c>
      <c r="L37" s="9" t="s">
        <v>148</v>
      </c>
      <c r="M37" s="61" t="str">
        <f>LEFT(KysymyksetTaulukko3[[#This Row],[Alakategoria_]],2)</f>
        <v>11</v>
      </c>
      <c r="N37" s="107"/>
      <c r="O37" s="70" t="s">
        <v>222</v>
      </c>
      <c r="P37" s="67" t="str">
        <f>IF(AND(KysymyksetTaulukko3[[#This Row],[Luokka]]="Extra",KysymyksetTaulukko3[[#This Row],[Luokka + toimiala]]="Kuuluu"),"Extra","")</f>
        <v/>
      </c>
      <c r="Q37" s="114"/>
      <c r="R37" s="64" t="s">
        <v>158</v>
      </c>
      <c r="S37" s="159"/>
      <c r="T37" s="123">
        <f>IF(AND(KysymyksetTaulukko3[[#This Row],[Luokka + toimiala]]="Kuuluu",KysymyksetTaulukko3[[#This Row],[Vastaus]]="Kyllä"),1,0)</f>
        <v>0</v>
      </c>
      <c r="U37" s="121">
        <f>IF(AND(KysymyksetTaulukko3[[#This Row],[Maksimipisteet]]=1,NOT(ISBLANK(KysymyksetTaulukko3[[#This Row],[Vastaus]]))),1,0)</f>
        <v>0</v>
      </c>
      <c r="V37" s="123">
        <f>IF(OR(KysymyksetTaulukko3[[#This Row],[Luokka + toimiala]]="Ei kuulu",KysymyksetTaulukko3[[#This Row],[Vastaus]]="Ei koske",KysymyksetTaulukko3[[#This Row],[Luokka]]="Extra",KysymyksetTaulukko3[[#This Row],[Otsikkorivi]]="Kyllä"),0,1)</f>
        <v>0</v>
      </c>
    </row>
    <row r="38" spans="1:22" ht="28.5" x14ac:dyDescent="0.35">
      <c r="A38" s="3">
        <v>4</v>
      </c>
      <c r="B38" s="3" t="str">
        <f>IF(ISNUMBER(SEARCH("," &amp; LV!$B$10 &amp; ",", "," &amp; SUBSTITUTE(A38, " ", "")&amp; ",")),
  "Kuuluu",
  IF(AND(LV!$B$10&gt;=2,
      LV!$B$10&lt;=4,
      OR(ISNUMBER(SEARCH("," &amp;(LV!$B$10+1)&amp; ",", "," &amp; SUBSTITUTE(A38, " ", "")&amp; ",")),
        ISNUMBER(SEARCH("," &amp;(LV!$B$10+2)&amp; ",", "," &amp; SUBSTITUTE(A38, " ", "")&amp; ",")),
        ISNUMBER(SEARCH("," &amp;(LV!$B$10+3)&amp; ",", "," &amp; SUBSTITUTE(A38, " ", "")&amp; ",")),
        ISNUMBER(SEARCH("," &amp;(LV!$B$10+4)&amp; ",", "," &amp; SUBSTITUTE(A38, " ", "")&amp; ",")),
        ISNUMBER(SEARCH("," &amp;(LV!$B$10+5)&amp; ",", "," &amp; SUBSTITUTE(A38, " ", "")&amp; ",")))),
    "Extra",
    "Ei kuulu"))</f>
        <v>Ei kuulu</v>
      </c>
      <c r="C38" s="3" t="s">
        <v>44</v>
      </c>
      <c r="D38" s="3" t="str">
        <f>IF(ISNUMBER(SEARCH(LV!$I$5, Kestävä_ja_kehittyvä!C38)), "K", "E")</f>
        <v>E</v>
      </c>
      <c r="E38" s="3" t="str">
        <f>IF(ISNUMBER(SEARCH(LV!$I$6, Kestävä_ja_kehittyvä!$C38)), "K", "E")</f>
        <v>E</v>
      </c>
      <c r="F38" s="3" t="str">
        <f>IF(ISNUMBER(SEARCH(LV!$I$7, Kestävä_ja_kehittyvä!$C38)), "K", "E")</f>
        <v>E</v>
      </c>
      <c r="G38" s="3" t="str">
        <f>IF(ISNUMBER(SEARCH(LV!$I$8, Kestävä_ja_kehittyvä!$C38)), "K", "E")</f>
        <v>E</v>
      </c>
      <c r="H38" s="3" t="str">
        <f>IF(OR(KysymyksetTaulukko3[[#This Row],[Toimiala A]]="K",KysymyksetTaulukko3[[#This Row],[Toimiala B]]="K",KysymyksetTaulukko3[[#This Row],[Toimiala C]]="K",KysymyksetTaulukko3[[#This Row],[Toimiala D]]="K"),"Kuuluu","Ei kuulu")</f>
        <v>Ei kuulu</v>
      </c>
      <c r="I38" s="3" t="str">
        <f>IF(OR(KysymyksetTaulukko3[[#This Row],[Luokka]]="Ei kuulu",KysymyksetTaulukko3[[#This Row],[Toimiala-
kysymys]]="Ei kuulu"), "Ei kuulu", "Kuuluu")</f>
        <v>Ei kuulu</v>
      </c>
      <c r="J38" s="3" t="str">
        <f>IF(KysymyksetTaulukko3[[#This Row],[Luokka + toimiala]]="Kuuluu","a) Oman vesilaitoksen kysymykset","b) Muut kysymykset")</f>
        <v>b) Muut kysymykset</v>
      </c>
      <c r="K38" s="9" t="s">
        <v>123</v>
      </c>
      <c r="L38" s="9" t="s">
        <v>148</v>
      </c>
      <c r="M38" s="61" t="str">
        <f>LEFT(KysymyksetTaulukko3[[#This Row],[Alakategoria_]],2)</f>
        <v>11</v>
      </c>
      <c r="N38" s="107"/>
      <c r="O38" s="70" t="s">
        <v>222</v>
      </c>
      <c r="P38" s="67" t="str">
        <f>IF(AND(KysymyksetTaulukko3[[#This Row],[Luokka]]="Extra",KysymyksetTaulukko3[[#This Row],[Luokka + toimiala]]="Kuuluu"),"Extra","")</f>
        <v/>
      </c>
      <c r="Q38" s="114"/>
      <c r="R38" s="64" t="s">
        <v>159</v>
      </c>
      <c r="S38" s="159"/>
      <c r="T38" s="123">
        <f>IF(AND(KysymyksetTaulukko3[[#This Row],[Luokka + toimiala]]="Kuuluu",KysymyksetTaulukko3[[#This Row],[Vastaus]]="Kyllä"),1,0)</f>
        <v>0</v>
      </c>
      <c r="U38" s="121">
        <f>IF(AND(KysymyksetTaulukko3[[#This Row],[Maksimipisteet]]=1,NOT(ISBLANK(KysymyksetTaulukko3[[#This Row],[Vastaus]]))),1,0)</f>
        <v>0</v>
      </c>
      <c r="V38" s="123">
        <f>IF(OR(KysymyksetTaulukko3[[#This Row],[Luokka + toimiala]]="Ei kuulu",KysymyksetTaulukko3[[#This Row],[Vastaus]]="Ei koske",KysymyksetTaulukko3[[#This Row],[Luokka]]="Extra",KysymyksetTaulukko3[[#This Row],[Otsikkorivi]]="Kyllä"),0,1)</f>
        <v>0</v>
      </c>
    </row>
    <row r="39" spans="1:22" ht="28.5" x14ac:dyDescent="0.35">
      <c r="A39" s="3">
        <v>4</v>
      </c>
      <c r="B39" s="3" t="str">
        <f>IF(ISNUMBER(SEARCH("," &amp; LV!$B$10 &amp; ",", "," &amp; SUBSTITUTE(A39, " ", "")&amp; ",")),
  "Kuuluu",
  IF(AND(LV!$B$10&gt;=2,
      LV!$B$10&lt;=4,
      OR(ISNUMBER(SEARCH("," &amp;(LV!$B$10+1)&amp; ",", "," &amp; SUBSTITUTE(A39, " ", "")&amp; ",")),
        ISNUMBER(SEARCH("," &amp;(LV!$B$10+2)&amp; ",", "," &amp; SUBSTITUTE(A39, " ", "")&amp; ",")),
        ISNUMBER(SEARCH("," &amp;(LV!$B$10+3)&amp; ",", "," &amp; SUBSTITUTE(A39, " ", "")&amp; ",")),
        ISNUMBER(SEARCH("," &amp;(LV!$B$10+4)&amp; ",", "," &amp; SUBSTITUTE(A39, " ", "")&amp; ",")),
        ISNUMBER(SEARCH("," &amp;(LV!$B$10+5)&amp; ",", "," &amp; SUBSTITUTE(A39, " ", "")&amp; ",")))),
    "Extra",
    "Ei kuulu"))</f>
        <v>Ei kuulu</v>
      </c>
      <c r="C39" s="3" t="s">
        <v>44</v>
      </c>
      <c r="D39" s="3" t="str">
        <f>IF(ISNUMBER(SEARCH(LV!$I$5, Kestävä_ja_kehittyvä!C39)), "K", "E")</f>
        <v>E</v>
      </c>
      <c r="E39" s="3" t="str">
        <f>IF(ISNUMBER(SEARCH(LV!$I$6, Kestävä_ja_kehittyvä!$C39)), "K", "E")</f>
        <v>E</v>
      </c>
      <c r="F39" s="3" t="str">
        <f>IF(ISNUMBER(SEARCH(LV!$I$7, Kestävä_ja_kehittyvä!$C39)), "K", "E")</f>
        <v>E</v>
      </c>
      <c r="G39" s="3" t="str">
        <f>IF(ISNUMBER(SEARCH(LV!$I$8, Kestävä_ja_kehittyvä!$C39)), "K", "E")</f>
        <v>E</v>
      </c>
      <c r="H39" s="3" t="str">
        <f>IF(OR(KysymyksetTaulukko3[[#This Row],[Toimiala A]]="K",KysymyksetTaulukko3[[#This Row],[Toimiala B]]="K",KysymyksetTaulukko3[[#This Row],[Toimiala C]]="K",KysymyksetTaulukko3[[#This Row],[Toimiala D]]="K"),"Kuuluu","Ei kuulu")</f>
        <v>Ei kuulu</v>
      </c>
      <c r="I39" s="3" t="str">
        <f>IF(OR(KysymyksetTaulukko3[[#This Row],[Luokka]]="Ei kuulu",KysymyksetTaulukko3[[#This Row],[Toimiala-
kysymys]]="Ei kuulu"), "Ei kuulu", "Kuuluu")</f>
        <v>Ei kuulu</v>
      </c>
      <c r="J39" s="3" t="str">
        <f>IF(KysymyksetTaulukko3[[#This Row],[Luokka + toimiala]]="Kuuluu","a) Oman vesilaitoksen kysymykset","b) Muut kysymykset")</f>
        <v>b) Muut kysymykset</v>
      </c>
      <c r="K39" s="9" t="s">
        <v>123</v>
      </c>
      <c r="L39" s="9" t="s">
        <v>148</v>
      </c>
      <c r="M39" s="61" t="str">
        <f>LEFT(KysymyksetTaulukko3[[#This Row],[Alakategoria_]],2)</f>
        <v>11</v>
      </c>
      <c r="N39" s="107"/>
      <c r="O39" s="70" t="s">
        <v>222</v>
      </c>
      <c r="P39" s="67" t="str">
        <f>IF(AND(KysymyksetTaulukko3[[#This Row],[Luokka]]="Extra",KysymyksetTaulukko3[[#This Row],[Luokka + toimiala]]="Kuuluu"),"Extra","")</f>
        <v/>
      </c>
      <c r="Q39" s="114"/>
      <c r="R39" s="64" t="s">
        <v>160</v>
      </c>
      <c r="S39" s="159"/>
      <c r="T39" s="123">
        <f>IF(AND(KysymyksetTaulukko3[[#This Row],[Luokka + toimiala]]="Kuuluu",KysymyksetTaulukko3[[#This Row],[Vastaus]]="Kyllä"),1,0)</f>
        <v>0</v>
      </c>
      <c r="U39" s="121">
        <f>IF(AND(KysymyksetTaulukko3[[#This Row],[Maksimipisteet]]=1,NOT(ISBLANK(KysymyksetTaulukko3[[#This Row],[Vastaus]]))),1,0)</f>
        <v>0</v>
      </c>
      <c r="V39" s="123">
        <f>IF(OR(KysymyksetTaulukko3[[#This Row],[Luokka + toimiala]]="Ei kuulu",KysymyksetTaulukko3[[#This Row],[Vastaus]]="Ei koske",KysymyksetTaulukko3[[#This Row],[Luokka]]="Extra",KysymyksetTaulukko3[[#This Row],[Otsikkorivi]]="Kyllä"),0,1)</f>
        <v>0</v>
      </c>
    </row>
    <row r="40" spans="1:22" ht="29" x14ac:dyDescent="0.35">
      <c r="A40" s="3">
        <v>4</v>
      </c>
      <c r="B40" s="3" t="str">
        <f>IF(ISNUMBER(SEARCH("," &amp; LV!$B$10 &amp; ",", "," &amp; SUBSTITUTE(A40, " ", "")&amp; ",")),
  "Kuuluu",
  IF(AND(LV!$B$10&gt;=2,
      LV!$B$10&lt;=4,
      OR(ISNUMBER(SEARCH("," &amp;(LV!$B$10+1)&amp; ",", "," &amp; SUBSTITUTE(A40, " ", "")&amp; ",")),
        ISNUMBER(SEARCH("," &amp;(LV!$B$10+2)&amp; ",", "," &amp; SUBSTITUTE(A40, " ", "")&amp; ",")),
        ISNUMBER(SEARCH("," &amp;(LV!$B$10+3)&amp; ",", "," &amp; SUBSTITUTE(A40, " ", "")&amp; ",")),
        ISNUMBER(SEARCH("," &amp;(LV!$B$10+4)&amp; ",", "," &amp; SUBSTITUTE(A40, " ", "")&amp; ",")),
        ISNUMBER(SEARCH("," &amp;(LV!$B$10+5)&amp; ",", "," &amp; SUBSTITUTE(A40, " ", "")&amp; ",")))),
    "Extra",
    "Ei kuulu"))</f>
        <v>Ei kuulu</v>
      </c>
      <c r="C40" s="3" t="s">
        <v>44</v>
      </c>
      <c r="D40" s="3" t="str">
        <f>IF(ISNUMBER(SEARCH(LV!$I$5, Kestävä_ja_kehittyvä!C40)), "K", "E")</f>
        <v>E</v>
      </c>
      <c r="E40" s="3" t="str">
        <f>IF(ISNUMBER(SEARCH(LV!$I$6, Kestävä_ja_kehittyvä!$C40)), "K", "E")</f>
        <v>E</v>
      </c>
      <c r="F40" s="3" t="str">
        <f>IF(ISNUMBER(SEARCH(LV!$I$7, Kestävä_ja_kehittyvä!$C40)), "K", "E")</f>
        <v>E</v>
      </c>
      <c r="G40" s="3" t="str">
        <f>IF(ISNUMBER(SEARCH(LV!$I$8, Kestävä_ja_kehittyvä!$C40)), "K", "E")</f>
        <v>E</v>
      </c>
      <c r="H40" s="3" t="str">
        <f>IF(OR(KysymyksetTaulukko3[[#This Row],[Toimiala A]]="K",KysymyksetTaulukko3[[#This Row],[Toimiala B]]="K",KysymyksetTaulukko3[[#This Row],[Toimiala C]]="K",KysymyksetTaulukko3[[#This Row],[Toimiala D]]="K"),"Kuuluu","Ei kuulu")</f>
        <v>Ei kuulu</v>
      </c>
      <c r="I40" s="3" t="str">
        <f>IF(OR(KysymyksetTaulukko3[[#This Row],[Luokka]]="Ei kuulu",KysymyksetTaulukko3[[#This Row],[Toimiala-
kysymys]]="Ei kuulu"), "Ei kuulu", "Kuuluu")</f>
        <v>Ei kuulu</v>
      </c>
      <c r="J40" s="3" t="str">
        <f>IF(KysymyksetTaulukko3[[#This Row],[Luokka + toimiala]]="Kuuluu","a) Oman vesilaitoksen kysymykset","b) Muut kysymykset")</f>
        <v>b) Muut kysymykset</v>
      </c>
      <c r="K40" s="9" t="s">
        <v>123</v>
      </c>
      <c r="L40" s="9" t="s">
        <v>148</v>
      </c>
      <c r="M40" s="61" t="str">
        <f>LEFT(KysymyksetTaulukko3[[#This Row],[Alakategoria_]],2)</f>
        <v>11</v>
      </c>
      <c r="N40" s="107"/>
      <c r="O40" s="70" t="s">
        <v>222</v>
      </c>
      <c r="P40" s="67" t="str">
        <f>IF(AND(KysymyksetTaulukko3[[#This Row],[Luokka]]="Extra",KysymyksetTaulukko3[[#This Row],[Luokka + toimiala]]="Kuuluu"),"Extra","")</f>
        <v/>
      </c>
      <c r="Q40" s="114"/>
      <c r="R40" s="64" t="s">
        <v>161</v>
      </c>
      <c r="S40" s="159"/>
      <c r="T40" s="123">
        <f>IF(AND(KysymyksetTaulukko3[[#This Row],[Luokka + toimiala]]="Kuuluu",KysymyksetTaulukko3[[#This Row],[Vastaus]]="Kyllä"),1,0)</f>
        <v>0</v>
      </c>
      <c r="U40" s="121">
        <f>IF(AND(KysymyksetTaulukko3[[#This Row],[Maksimipisteet]]=1,NOT(ISBLANK(KysymyksetTaulukko3[[#This Row],[Vastaus]]))),1,0)</f>
        <v>0</v>
      </c>
      <c r="V40" s="123">
        <f>IF(OR(KysymyksetTaulukko3[[#This Row],[Luokka + toimiala]]="Ei kuulu",KysymyksetTaulukko3[[#This Row],[Vastaus]]="Ei koske",KysymyksetTaulukko3[[#This Row],[Luokka]]="Extra",KysymyksetTaulukko3[[#This Row],[Otsikkorivi]]="Kyllä"),0,1)</f>
        <v>0</v>
      </c>
    </row>
    <row r="41" spans="1:22" ht="28.5" x14ac:dyDescent="0.35">
      <c r="A41" s="3">
        <v>4</v>
      </c>
      <c r="B41" s="3" t="str">
        <f>IF(ISNUMBER(SEARCH("," &amp; LV!$B$10 &amp; ",", "," &amp; SUBSTITUTE(A41, " ", "")&amp; ",")),
  "Kuuluu",
  IF(AND(LV!$B$10&gt;=2,
      LV!$B$10&lt;=4,
      OR(ISNUMBER(SEARCH("," &amp;(LV!$B$10+1)&amp; ",", "," &amp; SUBSTITUTE(A41, " ", "")&amp; ",")),
        ISNUMBER(SEARCH("," &amp;(LV!$B$10+2)&amp; ",", "," &amp; SUBSTITUTE(A41, " ", "")&amp; ",")),
        ISNUMBER(SEARCH("," &amp;(LV!$B$10+3)&amp; ",", "," &amp; SUBSTITUTE(A41, " ", "")&amp; ",")),
        ISNUMBER(SEARCH("," &amp;(LV!$B$10+4)&amp; ",", "," &amp; SUBSTITUTE(A41, " ", "")&amp; ",")),
        ISNUMBER(SEARCH("," &amp;(LV!$B$10+5)&amp; ",", "," &amp; SUBSTITUTE(A41, " ", "")&amp; ",")))),
    "Extra",
    "Ei kuulu"))</f>
        <v>Ei kuulu</v>
      </c>
      <c r="C41" s="3" t="s">
        <v>44</v>
      </c>
      <c r="D41" s="3" t="str">
        <f>IF(ISNUMBER(SEARCH(LV!$I$5, Kestävä_ja_kehittyvä!C41)), "K", "E")</f>
        <v>E</v>
      </c>
      <c r="E41" s="3" t="str">
        <f>IF(ISNUMBER(SEARCH(LV!$I$6, Kestävä_ja_kehittyvä!$C41)), "K", "E")</f>
        <v>E</v>
      </c>
      <c r="F41" s="3" t="str">
        <f>IF(ISNUMBER(SEARCH(LV!$I$7, Kestävä_ja_kehittyvä!$C41)), "K", "E")</f>
        <v>E</v>
      </c>
      <c r="G41" s="3" t="str">
        <f>IF(ISNUMBER(SEARCH(LV!$I$8, Kestävä_ja_kehittyvä!$C41)), "K", "E")</f>
        <v>E</v>
      </c>
      <c r="H41" s="3" t="str">
        <f>IF(OR(KysymyksetTaulukko3[[#This Row],[Toimiala A]]="K",KysymyksetTaulukko3[[#This Row],[Toimiala B]]="K",KysymyksetTaulukko3[[#This Row],[Toimiala C]]="K",KysymyksetTaulukko3[[#This Row],[Toimiala D]]="K"),"Kuuluu","Ei kuulu")</f>
        <v>Ei kuulu</v>
      </c>
      <c r="I41" s="3" t="str">
        <f>IF(OR(KysymyksetTaulukko3[[#This Row],[Luokka]]="Ei kuulu",KysymyksetTaulukko3[[#This Row],[Toimiala-
kysymys]]="Ei kuulu"), "Ei kuulu", "Kuuluu")</f>
        <v>Ei kuulu</v>
      </c>
      <c r="J41" s="3" t="str">
        <f>IF(KysymyksetTaulukko3[[#This Row],[Luokka + toimiala]]="Kuuluu","a) Oman vesilaitoksen kysymykset","b) Muut kysymykset")</f>
        <v>b) Muut kysymykset</v>
      </c>
      <c r="K41" s="9" t="s">
        <v>123</v>
      </c>
      <c r="L41" s="9" t="s">
        <v>148</v>
      </c>
      <c r="M41" s="61" t="str">
        <f>LEFT(KysymyksetTaulukko3[[#This Row],[Alakategoria_]],2)</f>
        <v>11</v>
      </c>
      <c r="N41" s="107"/>
      <c r="O41" s="70" t="s">
        <v>222</v>
      </c>
      <c r="P41" s="67" t="str">
        <f>IF(AND(KysymyksetTaulukko3[[#This Row],[Luokka]]="Extra",KysymyksetTaulukko3[[#This Row],[Luokka + toimiala]]="Kuuluu"),"Extra","")</f>
        <v/>
      </c>
      <c r="Q41" s="114"/>
      <c r="R41" s="64" t="s">
        <v>162</v>
      </c>
      <c r="S41" s="159"/>
      <c r="T41" s="123">
        <f>IF(AND(KysymyksetTaulukko3[[#This Row],[Luokka + toimiala]]="Kuuluu",KysymyksetTaulukko3[[#This Row],[Vastaus]]="Kyllä"),1,0)</f>
        <v>0</v>
      </c>
      <c r="U41" s="121">
        <f>IF(AND(KysymyksetTaulukko3[[#This Row],[Maksimipisteet]]=1,NOT(ISBLANK(KysymyksetTaulukko3[[#This Row],[Vastaus]]))),1,0)</f>
        <v>0</v>
      </c>
      <c r="V41" s="123">
        <f>IF(OR(KysymyksetTaulukko3[[#This Row],[Luokka + toimiala]]="Ei kuulu",KysymyksetTaulukko3[[#This Row],[Vastaus]]="Ei koske",KysymyksetTaulukko3[[#This Row],[Luokka]]="Extra",KysymyksetTaulukko3[[#This Row],[Otsikkorivi]]="Kyllä"),0,1)</f>
        <v>0</v>
      </c>
    </row>
    <row r="42" spans="1:22" ht="28.5" x14ac:dyDescent="0.35">
      <c r="A42" s="3">
        <v>5</v>
      </c>
      <c r="B42" s="3" t="str">
        <f>IF(ISNUMBER(SEARCH("," &amp; LV!$B$10 &amp; ",", "," &amp; SUBSTITUTE(A42, " ", "")&amp; ",")),
  "Kuuluu",
  IF(AND(LV!$B$10&gt;=2,
      LV!$B$10&lt;=4,
      OR(ISNUMBER(SEARCH("," &amp;(LV!$B$10+1)&amp; ",", "," &amp; SUBSTITUTE(A42, " ", "")&amp; ",")),
        ISNUMBER(SEARCH("," &amp;(LV!$B$10+2)&amp; ",", "," &amp; SUBSTITUTE(A42, " ", "")&amp; ",")),
        ISNUMBER(SEARCH("," &amp;(LV!$B$10+3)&amp; ",", "," &amp; SUBSTITUTE(A42, " ", "")&amp; ",")),
        ISNUMBER(SEARCH("," &amp;(LV!$B$10+4)&amp; ",", "," &amp; SUBSTITUTE(A42, " ", "")&amp; ",")),
        ISNUMBER(SEARCH("," &amp;(LV!$B$10+5)&amp; ",", "," &amp; SUBSTITUTE(A42, " ", "")&amp; ",")))),
    "Extra",
    "Ei kuulu"))</f>
        <v>Ei kuulu</v>
      </c>
      <c r="C42" s="3" t="s">
        <v>44</v>
      </c>
      <c r="D42" s="3" t="str">
        <f>IF(ISNUMBER(SEARCH(LV!$I$5, Kestävä_ja_kehittyvä!C42)), "K", "E")</f>
        <v>E</v>
      </c>
      <c r="E42" s="3" t="str">
        <f>IF(ISNUMBER(SEARCH(LV!$I$6, Kestävä_ja_kehittyvä!$C42)), "K", "E")</f>
        <v>E</v>
      </c>
      <c r="F42" s="3" t="str">
        <f>IF(ISNUMBER(SEARCH(LV!$I$7, Kestävä_ja_kehittyvä!$C42)), "K", "E")</f>
        <v>E</v>
      </c>
      <c r="G42" s="3" t="str">
        <f>IF(ISNUMBER(SEARCH(LV!$I$8, Kestävä_ja_kehittyvä!$C42)), "K", "E")</f>
        <v>E</v>
      </c>
      <c r="H42" s="3" t="str">
        <f>IF(OR(KysymyksetTaulukko3[[#This Row],[Toimiala A]]="K",KysymyksetTaulukko3[[#This Row],[Toimiala B]]="K",KysymyksetTaulukko3[[#This Row],[Toimiala C]]="K",KysymyksetTaulukko3[[#This Row],[Toimiala D]]="K"),"Kuuluu","Ei kuulu")</f>
        <v>Ei kuulu</v>
      </c>
      <c r="I42" s="3" t="str">
        <f>IF(OR(KysymyksetTaulukko3[[#This Row],[Luokka]]="Ei kuulu",KysymyksetTaulukko3[[#This Row],[Toimiala-
kysymys]]="Ei kuulu"), "Ei kuulu", "Kuuluu")</f>
        <v>Ei kuulu</v>
      </c>
      <c r="J42" s="3" t="str">
        <f>IF(KysymyksetTaulukko3[[#This Row],[Luokka + toimiala]]="Kuuluu","a) Oman vesilaitoksen kysymykset","b) Muut kysymykset")</f>
        <v>b) Muut kysymykset</v>
      </c>
      <c r="K42" s="9" t="s">
        <v>123</v>
      </c>
      <c r="L42" s="9" t="s">
        <v>148</v>
      </c>
      <c r="M42" s="61" t="str">
        <f>LEFT(KysymyksetTaulukko3[[#This Row],[Alakategoria_]],2)</f>
        <v>11</v>
      </c>
      <c r="N42" s="107"/>
      <c r="O42" s="70" t="s">
        <v>222</v>
      </c>
      <c r="P42" s="67" t="str">
        <f>IF(AND(KysymyksetTaulukko3[[#This Row],[Luokka]]="Extra",KysymyksetTaulukko3[[#This Row],[Luokka + toimiala]]="Kuuluu"),"Extra","")</f>
        <v/>
      </c>
      <c r="Q42" s="114"/>
      <c r="R42" s="64" t="s">
        <v>163</v>
      </c>
      <c r="S42" s="159"/>
      <c r="T42" s="123">
        <f>IF(AND(KysymyksetTaulukko3[[#This Row],[Luokka + toimiala]]="Kuuluu",KysymyksetTaulukko3[[#This Row],[Vastaus]]="Kyllä"),1,0)</f>
        <v>0</v>
      </c>
      <c r="U42" s="121">
        <f>IF(AND(KysymyksetTaulukko3[[#This Row],[Maksimipisteet]]=1,NOT(ISBLANK(KysymyksetTaulukko3[[#This Row],[Vastaus]]))),1,0)</f>
        <v>0</v>
      </c>
      <c r="V42" s="123">
        <f>IF(OR(KysymyksetTaulukko3[[#This Row],[Luokka + toimiala]]="Ei kuulu",KysymyksetTaulukko3[[#This Row],[Vastaus]]="Ei koske",KysymyksetTaulukko3[[#This Row],[Luokka]]="Extra",KysymyksetTaulukko3[[#This Row],[Otsikkorivi]]="Kyllä"),0,1)</f>
        <v>0</v>
      </c>
    </row>
    <row r="43" spans="1:22" ht="28.5" x14ac:dyDescent="0.35">
      <c r="A43" s="3">
        <v>5</v>
      </c>
      <c r="B43" s="3" t="str">
        <f>IF(ISNUMBER(SEARCH("," &amp; LV!$B$10 &amp; ",", "," &amp; SUBSTITUTE(A43, " ", "")&amp; ",")),
  "Kuuluu",
  IF(AND(LV!$B$10&gt;=2,
      LV!$B$10&lt;=4,
      OR(ISNUMBER(SEARCH("," &amp;(LV!$B$10+1)&amp; ",", "," &amp; SUBSTITUTE(A43, " ", "")&amp; ",")),
        ISNUMBER(SEARCH("," &amp;(LV!$B$10+2)&amp; ",", "," &amp; SUBSTITUTE(A43, " ", "")&amp; ",")),
        ISNUMBER(SEARCH("," &amp;(LV!$B$10+3)&amp; ",", "," &amp; SUBSTITUTE(A43, " ", "")&amp; ",")),
        ISNUMBER(SEARCH("," &amp;(LV!$B$10+4)&amp; ",", "," &amp; SUBSTITUTE(A43, " ", "")&amp; ",")),
        ISNUMBER(SEARCH("," &amp;(LV!$B$10+5)&amp; ",", "," &amp; SUBSTITUTE(A43, " ", "")&amp; ",")))),
    "Extra",
    "Ei kuulu"))</f>
        <v>Ei kuulu</v>
      </c>
      <c r="C43" s="3" t="s">
        <v>44</v>
      </c>
      <c r="D43" s="3" t="str">
        <f>IF(ISNUMBER(SEARCH(LV!$I$5, Kestävä_ja_kehittyvä!C43)), "K", "E")</f>
        <v>E</v>
      </c>
      <c r="E43" s="3" t="str">
        <f>IF(ISNUMBER(SEARCH(LV!$I$6, Kestävä_ja_kehittyvä!$C43)), "K", "E")</f>
        <v>E</v>
      </c>
      <c r="F43" s="3" t="str">
        <f>IF(ISNUMBER(SEARCH(LV!$I$7, Kestävä_ja_kehittyvä!$C43)), "K", "E")</f>
        <v>E</v>
      </c>
      <c r="G43" s="3" t="str">
        <f>IF(ISNUMBER(SEARCH(LV!$I$8, Kestävä_ja_kehittyvä!$C43)), "K", "E")</f>
        <v>E</v>
      </c>
      <c r="H43" s="3" t="str">
        <f>IF(OR(KysymyksetTaulukko3[[#This Row],[Toimiala A]]="K",KysymyksetTaulukko3[[#This Row],[Toimiala B]]="K",KysymyksetTaulukko3[[#This Row],[Toimiala C]]="K",KysymyksetTaulukko3[[#This Row],[Toimiala D]]="K"),"Kuuluu","Ei kuulu")</f>
        <v>Ei kuulu</v>
      </c>
      <c r="I43" s="3" t="str">
        <f>IF(OR(KysymyksetTaulukko3[[#This Row],[Luokka]]="Ei kuulu",KysymyksetTaulukko3[[#This Row],[Toimiala-
kysymys]]="Ei kuulu"), "Ei kuulu", "Kuuluu")</f>
        <v>Ei kuulu</v>
      </c>
      <c r="J43" s="3" t="str">
        <f>IF(KysymyksetTaulukko3[[#This Row],[Luokka + toimiala]]="Kuuluu","a) Oman vesilaitoksen kysymykset","b) Muut kysymykset")</f>
        <v>b) Muut kysymykset</v>
      </c>
      <c r="K43" s="9" t="s">
        <v>123</v>
      </c>
      <c r="L43" s="9" t="s">
        <v>148</v>
      </c>
      <c r="M43" s="62" t="str">
        <f>LEFT(KysymyksetTaulukko3[[#This Row],[Alakategoria_]],2)</f>
        <v>11</v>
      </c>
      <c r="N43" s="111"/>
      <c r="O43" s="70" t="s">
        <v>222</v>
      </c>
      <c r="P43" s="67" t="str">
        <f>IF(AND(KysymyksetTaulukko3[[#This Row],[Luokka]]="Extra",KysymyksetTaulukko3[[#This Row],[Luokka + toimiala]]="Kuuluu"),"Extra","")</f>
        <v/>
      </c>
      <c r="Q43" s="114"/>
      <c r="R43" s="64" t="s">
        <v>164</v>
      </c>
      <c r="S43" s="159"/>
      <c r="T43" s="124">
        <f>IF(AND(KysymyksetTaulukko3[[#This Row],[Luokka + toimiala]]="Kuuluu",KysymyksetTaulukko3[[#This Row],[Vastaus]]="Kyllä"),1,0)</f>
        <v>0</v>
      </c>
      <c r="U43" s="121">
        <f>IF(AND(KysymyksetTaulukko3[[#This Row],[Maksimipisteet]]=1,NOT(ISBLANK(KysymyksetTaulukko3[[#This Row],[Vastaus]]))),1,0)</f>
        <v>0</v>
      </c>
      <c r="V43" s="124">
        <f>IF(OR(KysymyksetTaulukko3[[#This Row],[Luokka + toimiala]]="Ei kuulu",KysymyksetTaulukko3[[#This Row],[Vastaus]]="Ei koske",KysymyksetTaulukko3[[#This Row],[Luokka]]="Extra",KysymyksetTaulukko3[[#This Row],[Otsikkorivi]]="Kyllä"),0,1)</f>
        <v>0</v>
      </c>
    </row>
    <row r="44" spans="1:22" x14ac:dyDescent="0.35">
      <c r="S44" s="18"/>
      <c r="V44" s="6"/>
    </row>
    <row r="45" spans="1:22" x14ac:dyDescent="0.35">
      <c r="S45" s="18"/>
      <c r="V45" s="6"/>
    </row>
    <row r="46" spans="1:22" x14ac:dyDescent="0.35">
      <c r="S46" s="18"/>
      <c r="V46" s="6"/>
    </row>
  </sheetData>
  <conditionalFormatting sqref="R5:R43">
    <cfRule type="expression" dxfId="21" priority="1">
      <formula>I5="Ei kuulu"</formula>
    </cfRule>
    <cfRule type="expression" dxfId="20" priority="2">
      <formula>P5="Extra"</formula>
    </cfRule>
  </conditionalFormatting>
  <conditionalFormatting sqref="S5:S43">
    <cfRule type="expression" dxfId="19" priority="3">
      <formula>AND(P5="Extra",NOT(ISBLANK(S5)))</formula>
    </cfRule>
    <cfRule type="expression" dxfId="18" priority="4">
      <formula>NOT(ISBLANK($S5))</formula>
    </cfRule>
    <cfRule type="expression" dxfId="17" priority="5">
      <formula>I5="Ei kuulu"</formula>
    </cfRule>
  </conditionalFormatting>
  <hyperlinks>
    <hyperlink ref="S1" location="Ohje!A1" tooltip="Klikkaa tästä niin pääset lukemaan ohjeita toiselta välilehdeltä." display="Ohje" xr:uid="{E6CAF9ED-0F11-4266-A589-3E6E3196841A}"/>
  </hyperlinks>
  <pageMargins left="0.7" right="0.7" top="0.75" bottom="0.75" header="0.3" footer="0.3"/>
  <pageSetup paperSize="9" orientation="portrait" horizontalDpi="4294967293" verticalDpi="0"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245630E2-CBA9-440C-95FF-05EBD2DDE79F}">
          <x14:formula1>
            <xm:f>LV!$B$30:$B$32</xm:f>
          </x14:formula1>
          <xm:sqref>S6:S13 S15:S26 S28:S43</xm:sqref>
        </x14:dataValidation>
      </x14:dataValidations>
    </ext>
    <ext xmlns:x15="http://schemas.microsoft.com/office/spreadsheetml/2010/11/main" uri="{3A4CF648-6AED-40f4-86FF-DC5316D8AED3}">
      <x14:slicerList xmlns:x14="http://schemas.microsoft.com/office/spreadsheetml/2009/9/main">
        <x14:slicer r:id="rId5"/>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4A42-B4E8-422C-BF31-4C9F2EC0867B}">
  <sheetPr>
    <tabColor rgb="FFFF0000"/>
  </sheetPr>
  <dimension ref="B2:O53"/>
  <sheetViews>
    <sheetView showGridLines="0" workbookViewId="0"/>
  </sheetViews>
  <sheetFormatPr defaultRowHeight="14.5" x14ac:dyDescent="0.35"/>
  <cols>
    <col min="2" max="2" width="3.90625" customWidth="1"/>
    <col min="3" max="3" width="29.1796875" customWidth="1"/>
    <col min="4" max="5" width="12.08984375" customWidth="1"/>
    <col min="6" max="6" width="9.6328125" customWidth="1"/>
    <col min="7" max="7" width="10.90625" customWidth="1"/>
    <col min="8" max="8" width="12.08984375" bestFit="1" customWidth="1"/>
    <col min="9" max="9" width="19.08984375" customWidth="1"/>
    <col min="13" max="13" width="9.36328125" customWidth="1"/>
    <col min="14" max="14" width="13.90625" customWidth="1"/>
    <col min="15" max="15" width="10.81640625" customWidth="1"/>
  </cols>
  <sheetData>
    <row r="2" spans="2:15" ht="26" x14ac:dyDescent="0.6">
      <c r="B2" s="127" t="s">
        <v>256</v>
      </c>
      <c r="C2" s="75"/>
      <c r="D2" s="75"/>
      <c r="E2" s="75"/>
      <c r="F2" s="75"/>
    </row>
    <row r="4" spans="2:15" ht="15" thickBot="1" x14ac:dyDescent="0.4"/>
    <row r="5" spans="2:15" x14ac:dyDescent="0.35">
      <c r="B5" s="19"/>
      <c r="C5" s="20"/>
      <c r="D5" s="20"/>
      <c r="E5" s="20"/>
      <c r="F5" s="20"/>
      <c r="G5" s="20"/>
      <c r="H5" s="20"/>
      <c r="I5" s="20"/>
      <c r="J5" s="21"/>
    </row>
    <row r="6" spans="2:15" ht="44.5" x14ac:dyDescent="0.45">
      <c r="B6" s="22"/>
      <c r="C6" s="32" t="s">
        <v>2</v>
      </c>
      <c r="D6" s="23" t="s">
        <v>198</v>
      </c>
      <c r="E6" s="23" t="s">
        <v>192</v>
      </c>
      <c r="F6" s="23" t="s">
        <v>187</v>
      </c>
      <c r="G6" s="23" t="s">
        <v>201</v>
      </c>
      <c r="H6" s="23" t="s">
        <v>186</v>
      </c>
      <c r="I6" s="38" t="s">
        <v>200</v>
      </c>
      <c r="J6" s="24"/>
    </row>
    <row r="7" spans="2:15" ht="18" customHeight="1" x14ac:dyDescent="0.4">
      <c r="B7" s="22"/>
      <c r="C7" s="33" t="s">
        <v>7</v>
      </c>
      <c r="D7" s="34">
        <f>IF(IFERROR(G7/F7,0)&lt;0, 0, IFERROR(G7/F7,0))</f>
        <v>0</v>
      </c>
      <c r="E7" s="34">
        <f>IF(IFERROR((F7-G7)/F7,0)&lt;0,0,IFERROR((F7-G7)/F7,0))</f>
        <v>0</v>
      </c>
      <c r="F7" s="35">
        <f>SUMIF(KysymyksetTaulukko[Pääkategoria], 'TEKNINEN - TulostenLasku'!C7,KysymyksetTaulukko[Maksimipisteet])</f>
        <v>0</v>
      </c>
      <c r="G7" s="35">
        <f>SUMIF(KysymyksetTaulukko[Pääkategoria], 'TEKNINEN - TulostenLasku'!C7,KysymyksetTaulukko[Pisteet])</f>
        <v>0</v>
      </c>
      <c r="H7" s="36">
        <f>IFERROR(G7/F7*100,0)</f>
        <v>0</v>
      </c>
      <c r="I7" s="37" t="str">
        <f>IF(H7&gt;=100,"Erinomainen",IF(H7&gt;=80,"Hyvä",IF(AND(H7&gt;=50,H7&lt;80),"Korjattavaa",IF(AND(H7&gt;=30,H7&lt;50),"Huono",IF(AND(H7&gt;0,H7&lt;30),"Erittäin huono","Ei vielä vastattu?")))))</f>
        <v>Ei vielä vastattu?</v>
      </c>
      <c r="J7" s="24"/>
      <c r="M7" s="147" t="s">
        <v>261</v>
      </c>
    </row>
    <row r="8" spans="2:15" ht="18" customHeight="1" x14ac:dyDescent="0.4">
      <c r="B8" s="22"/>
      <c r="C8" s="33" t="s">
        <v>80</v>
      </c>
      <c r="D8" s="34">
        <f t="shared" ref="D8:D10" si="0">IF(IFERROR(G8/F8,0)&lt;0, 0, IFERROR(G8/F8,0))</f>
        <v>0</v>
      </c>
      <c r="E8" s="34">
        <f t="shared" ref="E8:E9" si="1">IF(IFERROR((F8-G8)/F8,0)&lt;0,0,IFERROR((F8-G8)/F8,0))</f>
        <v>0</v>
      </c>
      <c r="F8" s="35">
        <f>SUMIF(KysymyksetTaulukko2[Pääkategoria], 'TEKNINEN - TulostenLasku'!C8,KysymyksetTaulukko2[Maksimipisteet])</f>
        <v>0</v>
      </c>
      <c r="G8" s="35">
        <f>SUMIF(KysymyksetTaulukko2[Pääkategoria], 'TEKNINEN - TulostenLasku'!C8,KysymyksetTaulukko2[Pisteet])</f>
        <v>0</v>
      </c>
      <c r="H8" s="36">
        <f t="shared" ref="H8:H10" si="2">IFERROR(G8/F8*100,0)</f>
        <v>0</v>
      </c>
      <c r="I8" s="37" t="str">
        <f t="shared" ref="I8:I10" si="3">IF(H8&gt;=100,"Erinomainen",IF(H8&gt;=80,"Hyvä",IF(AND(H8&gt;=50,H8&lt;80),"Korjattavaa",IF(AND(H8&gt;=30,H8&lt;50),"Huono",IF(AND(H8&gt;0,H8&lt;30),"Erittäin huono","Ei vielä vastattu?")))))</f>
        <v>Ei vielä vastattu?</v>
      </c>
      <c r="J8" s="24"/>
      <c r="M8" t="s">
        <v>2</v>
      </c>
      <c r="N8" t="s">
        <v>184</v>
      </c>
      <c r="O8" t="s">
        <v>185</v>
      </c>
    </row>
    <row r="9" spans="2:15" ht="18" customHeight="1" x14ac:dyDescent="0.4">
      <c r="B9" s="22"/>
      <c r="C9" s="33" t="s">
        <v>123</v>
      </c>
      <c r="D9" s="34">
        <f t="shared" si="0"/>
        <v>0</v>
      </c>
      <c r="E9" s="34">
        <f t="shared" si="1"/>
        <v>0</v>
      </c>
      <c r="F9" s="35">
        <f>SUMIF(KysymyksetTaulukko3[Pääkategoria], 'TEKNINEN - TulostenLasku'!C9,KysymyksetTaulukko3[Maksimipisteet])</f>
        <v>0</v>
      </c>
      <c r="G9" s="35">
        <f>SUMIF(KysymyksetTaulukko3[Pääkategoria], 'TEKNINEN - TulostenLasku'!C9,KysymyksetTaulukko3[Pisteet])</f>
        <v>0</v>
      </c>
      <c r="H9" s="36">
        <f t="shared" si="2"/>
        <v>0</v>
      </c>
      <c r="I9" s="37" t="str">
        <f t="shared" si="3"/>
        <v>Ei vielä vastattu?</v>
      </c>
      <c r="J9" s="24"/>
      <c r="M9" s="11" t="s">
        <v>263</v>
      </c>
      <c r="N9" s="11">
        <f>SUMIF(KysymyksetTaulukko[HV], "X",KysymyksetTaulukko[Maksimipisteet])</f>
        <v>0</v>
      </c>
      <c r="O9" s="11">
        <f>SUMIF(KysymyksetTaulukko[HV], "x",KysymyksetTaulukko[Pisteet])</f>
        <v>0</v>
      </c>
    </row>
    <row r="10" spans="2:15" ht="18" customHeight="1" x14ac:dyDescent="0.4">
      <c r="B10" s="22"/>
      <c r="C10" s="33" t="s">
        <v>5</v>
      </c>
      <c r="D10" s="34">
        <f t="shared" si="0"/>
        <v>0</v>
      </c>
      <c r="E10" s="34">
        <f>IF(IFERROR((F10-G10)/F10,0)&lt;0,0,IFERROR((F10-G10)/F10,0))</f>
        <v>0</v>
      </c>
      <c r="F10" s="35">
        <f>N12</f>
        <v>0</v>
      </c>
      <c r="G10" s="35">
        <f>O12</f>
        <v>0</v>
      </c>
      <c r="H10" s="36">
        <f t="shared" si="2"/>
        <v>0</v>
      </c>
      <c r="I10" s="37" t="str">
        <f t="shared" si="3"/>
        <v>Ei vielä vastattu?</v>
      </c>
      <c r="J10" s="24"/>
      <c r="M10" s="11" t="s">
        <v>264</v>
      </c>
      <c r="N10" s="11">
        <f>SUMIF(KysymyksetTaulukko2[HV], "X",KysymyksetTaulukko2[Maksimipisteet])</f>
        <v>0</v>
      </c>
      <c r="O10" s="11">
        <f>SUMIF(KysymyksetTaulukko2[HV], "x",KysymyksetTaulukko2[Pisteet])</f>
        <v>0</v>
      </c>
    </row>
    <row r="11" spans="2:15" ht="18" customHeight="1" x14ac:dyDescent="0.35">
      <c r="B11" s="22"/>
      <c r="C11" s="25"/>
      <c r="D11" s="26"/>
      <c r="E11" s="26"/>
      <c r="F11" s="27"/>
      <c r="G11" s="27"/>
      <c r="H11" s="28"/>
      <c r="I11" s="25"/>
      <c r="J11" s="24"/>
      <c r="M11" s="11" t="s">
        <v>265</v>
      </c>
      <c r="N11" s="11">
        <f>SUMIF(KysymyksetTaulukko3[HV], "X",KysymyksetTaulukko3[Maksimipisteet])</f>
        <v>0</v>
      </c>
      <c r="O11" s="11">
        <f>SUMIF(KysymyksetTaulukko3[HV], "x",KysymyksetTaulukko3[Pisteet])</f>
        <v>0</v>
      </c>
    </row>
    <row r="12" spans="2:15" ht="15" thickBot="1" x14ac:dyDescent="0.4">
      <c r="B12" s="29"/>
      <c r="C12" s="30"/>
      <c r="D12" s="30"/>
      <c r="E12" s="30"/>
      <c r="F12" s="30"/>
      <c r="G12" s="30"/>
      <c r="H12" s="30"/>
      <c r="I12" s="30"/>
      <c r="J12" s="31"/>
      <c r="M12" s="11" t="s">
        <v>262</v>
      </c>
      <c r="N12" s="11">
        <f>SUM(N9:N11)</f>
        <v>0</v>
      </c>
      <c r="O12" s="11">
        <f>SUM(O9:O11)</f>
        <v>0</v>
      </c>
    </row>
    <row r="45" spans="3:7" x14ac:dyDescent="0.35">
      <c r="C45" t="s">
        <v>251</v>
      </c>
    </row>
    <row r="46" spans="3:7" x14ac:dyDescent="0.35">
      <c r="E46" t="s">
        <v>7</v>
      </c>
      <c r="F46" t="s">
        <v>80</v>
      </c>
      <c r="G46" t="s">
        <v>123</v>
      </c>
    </row>
    <row r="47" spans="3:7" x14ac:dyDescent="0.35">
      <c r="C47" t="s">
        <v>247</v>
      </c>
      <c r="E47">
        <f>SUM(KysymyksetTaulukko[Onko vastattu])</f>
        <v>0</v>
      </c>
      <c r="F47">
        <f>SUM(KysymyksetTaulukko2[Onko vastattu])</f>
        <v>0</v>
      </c>
      <c r="G47">
        <f>SUM(KysymyksetTaulukko3[Onko vastattu])</f>
        <v>0</v>
      </c>
    </row>
    <row r="48" spans="3:7" x14ac:dyDescent="0.35">
      <c r="C48" t="s">
        <v>248</v>
      </c>
      <c r="E48">
        <f>SUM(KysymyksetTaulukko[Maksimipisteet])</f>
        <v>0</v>
      </c>
      <c r="F48">
        <f>SUM(KysymyksetTaulukko2[Maksimipisteet])</f>
        <v>0</v>
      </c>
      <c r="G48">
        <f>SUM(KysymyksetTaulukko3[Maksimipisteet])</f>
        <v>0</v>
      </c>
    </row>
    <row r="49" spans="3:7" x14ac:dyDescent="0.35">
      <c r="C49" t="s">
        <v>249</v>
      </c>
      <c r="E49" s="117">
        <f>ROUND(IFERROR(E47/E48,0),2)*100</f>
        <v>0</v>
      </c>
      <c r="F49" s="117">
        <f>ROUND(IFERROR(F47/F48,0),2)*100</f>
        <v>0</v>
      </c>
      <c r="G49" s="117">
        <f>ROUND(IFERROR(G47/G48,0),2)*100</f>
        <v>0</v>
      </c>
    </row>
    <row r="51" spans="3:7" x14ac:dyDescent="0.35">
      <c r="C51" t="str">
        <f>CONCATENATE("Vastattu "&amp;'TEKNINEN - TulostenLasku'!$E$49&amp;" %:iin vesilaitostanne koskevista pakollisista kysymyksistä.")</f>
        <v>Vastattu 0 %:iin vesilaitostanne koskevista pakollisista kysymyksistä.</v>
      </c>
    </row>
    <row r="52" spans="3:7" x14ac:dyDescent="0.35">
      <c r="C52" t="str">
        <f>CONCATENATE("Vastattu "&amp;'TEKNINEN - TulostenLasku'!$F$49&amp;" %:iin vesilaitostanne koskevista pakollisista kysymyksistä.")</f>
        <v>Vastattu 0 %:iin vesilaitostanne koskevista pakollisista kysymyksistä.</v>
      </c>
    </row>
    <row r="53" spans="3:7" x14ac:dyDescent="0.35">
      <c r="C53" t="str">
        <f>CONCATENATE("Vastattu "&amp;'TEKNINEN - TulostenLasku'!$G$49&amp;" %:iin vesilaitostanne koskevista pakollisista kysymyksistä.")</f>
        <v>Vastattu 0 %:iin vesilaitostanne koskevista pakollisista kysymyksistä.</v>
      </c>
    </row>
  </sheetData>
  <conditionalFormatting sqref="I7:I11">
    <cfRule type="containsText" dxfId="16" priority="6" operator="containsText" text="Erittäin huono">
      <formula>NOT(ISERROR(SEARCH("Erittäin huono",I7)))</formula>
    </cfRule>
    <cfRule type="containsText" dxfId="15" priority="7" operator="containsText" text="Huono">
      <formula>NOT(ISERROR(SEARCH("Huono",I7)))</formula>
    </cfRule>
    <cfRule type="containsText" dxfId="14" priority="8" operator="containsText" text="Korjattavaa">
      <formula>NOT(ISERROR(SEARCH("Korjattavaa",I7)))</formula>
    </cfRule>
    <cfRule type="containsText" dxfId="13" priority="9" operator="containsText" text="Hyvä">
      <formula>NOT(ISERROR(SEARCH("Hyvä",I7)))</formula>
    </cfRule>
    <cfRule type="containsText" dxfId="12" priority="10" operator="containsText" text="Erinomainen">
      <formula>NOT(ISERROR(SEARCH("Erinomainen",I7)))</formula>
    </cfRule>
  </conditionalFormatting>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753E-8534-4D40-9C7A-C73D073E94BB}">
  <sheetPr>
    <tabColor rgb="FFEEB36D"/>
  </sheetPr>
  <dimension ref="A1:R44"/>
  <sheetViews>
    <sheetView showGridLines="0" workbookViewId="0">
      <selection activeCell="A45" sqref="A45"/>
    </sheetView>
  </sheetViews>
  <sheetFormatPr defaultRowHeight="14.5" x14ac:dyDescent="0.35"/>
  <cols>
    <col min="2" max="2" width="3.90625" customWidth="1"/>
    <col min="3" max="3" width="29.1796875" customWidth="1"/>
    <col min="4" max="4" width="19.08984375" customWidth="1"/>
    <col min="5" max="6" width="12.08984375" customWidth="1"/>
    <col min="7" max="7" width="9.6328125" customWidth="1"/>
    <col min="8" max="8" width="10.90625" customWidth="1"/>
    <col min="11" max="11" width="16.08984375" customWidth="1"/>
    <col min="12" max="12" width="13.90625" customWidth="1"/>
    <col min="13" max="13" width="10.81640625" customWidth="1"/>
  </cols>
  <sheetData>
    <row r="1" spans="1:18" x14ac:dyDescent="0.35">
      <c r="A1" s="54"/>
      <c r="B1" s="54"/>
      <c r="C1" s="54"/>
      <c r="D1" s="54"/>
      <c r="E1" s="54"/>
      <c r="F1" s="54"/>
      <c r="G1" s="54"/>
      <c r="H1" s="54"/>
      <c r="I1" s="54"/>
      <c r="J1" s="54"/>
      <c r="K1" s="54"/>
      <c r="L1" s="54"/>
      <c r="M1" s="54"/>
      <c r="N1" s="54"/>
      <c r="O1" s="54"/>
      <c r="P1" s="54"/>
      <c r="Q1" s="54"/>
      <c r="R1" s="54"/>
    </row>
    <row r="2" spans="1:18" ht="26" x14ac:dyDescent="0.6">
      <c r="A2" s="54"/>
      <c r="B2" s="56" t="s">
        <v>246</v>
      </c>
      <c r="C2" s="54"/>
      <c r="D2" s="54"/>
      <c r="E2" s="54"/>
      <c r="F2" s="54"/>
      <c r="G2" s="54"/>
      <c r="H2" s="54"/>
      <c r="I2" s="54"/>
      <c r="J2" s="54"/>
      <c r="K2" s="54"/>
      <c r="L2" s="54"/>
      <c r="M2" s="54"/>
      <c r="N2" s="54"/>
      <c r="O2" s="54"/>
      <c r="P2" s="54"/>
      <c r="Q2" s="54"/>
      <c r="R2" s="54"/>
    </row>
    <row r="3" spans="1:18" ht="15" thickBot="1" x14ac:dyDescent="0.4">
      <c r="A3" s="54"/>
      <c r="B3" s="54"/>
      <c r="C3" s="54"/>
      <c r="D3" s="54"/>
      <c r="E3" s="54"/>
      <c r="F3" s="54"/>
      <c r="G3" s="54"/>
      <c r="H3" s="54"/>
      <c r="I3" s="54"/>
      <c r="J3" s="54"/>
      <c r="K3" s="54"/>
      <c r="L3" s="54"/>
      <c r="M3" s="54"/>
      <c r="N3" s="54"/>
      <c r="O3" s="54"/>
      <c r="P3" s="54"/>
      <c r="Q3" s="54"/>
      <c r="R3" s="54"/>
    </row>
    <row r="4" spans="1:18" x14ac:dyDescent="0.35">
      <c r="A4" s="54"/>
      <c r="B4" s="88"/>
      <c r="C4" s="89"/>
      <c r="D4" s="89"/>
      <c r="E4" s="89"/>
      <c r="F4" s="89"/>
      <c r="G4" s="89"/>
      <c r="H4" s="89"/>
      <c r="I4" s="90"/>
      <c r="J4" s="54"/>
      <c r="K4" s="54"/>
      <c r="L4" s="54"/>
      <c r="M4" s="54"/>
      <c r="N4" s="54"/>
      <c r="O4" s="54"/>
      <c r="P4" s="54"/>
      <c r="Q4" s="54"/>
      <c r="R4" s="54"/>
    </row>
    <row r="5" spans="1:18" ht="44.5" x14ac:dyDescent="0.45">
      <c r="A5" s="54"/>
      <c r="B5" s="91"/>
      <c r="C5" s="92" t="s">
        <v>2</v>
      </c>
      <c r="D5" s="94" t="s">
        <v>200</v>
      </c>
      <c r="E5" s="93" t="s">
        <v>198</v>
      </c>
      <c r="F5" s="93" t="s">
        <v>192</v>
      </c>
      <c r="G5" s="93" t="s">
        <v>201</v>
      </c>
      <c r="H5" s="93" t="s">
        <v>187</v>
      </c>
      <c r="I5" s="95"/>
      <c r="J5" s="54"/>
      <c r="K5" s="54"/>
      <c r="L5" s="54"/>
      <c r="M5" s="54"/>
      <c r="N5" s="54"/>
      <c r="O5" s="54"/>
      <c r="P5" s="54"/>
      <c r="Q5" s="54"/>
      <c r="R5" s="54"/>
    </row>
    <row r="6" spans="1:18" ht="18" customHeight="1" x14ac:dyDescent="0.4">
      <c r="A6" s="54"/>
      <c r="B6" s="91"/>
      <c r="C6" s="96" t="s">
        <v>7</v>
      </c>
      <c r="D6" s="99" t="str">
        <f>'TEKNINEN - TulostenLasku'!I7</f>
        <v>Ei vielä vastattu?</v>
      </c>
      <c r="E6" s="97">
        <f>'TEKNINEN - TulostenLasku'!D7</f>
        <v>0</v>
      </c>
      <c r="F6" s="97">
        <f>'TEKNINEN - TulostenLasku'!E7</f>
        <v>0</v>
      </c>
      <c r="G6" s="98">
        <f>'TEKNINEN - TulostenLasku'!G7</f>
        <v>0</v>
      </c>
      <c r="H6" s="98">
        <f>'TEKNINEN - TulostenLasku'!F7</f>
        <v>0</v>
      </c>
      <c r="I6" s="95"/>
      <c r="J6" s="54"/>
      <c r="K6" s="54"/>
      <c r="L6" s="54"/>
      <c r="M6" s="54"/>
      <c r="N6" s="54"/>
      <c r="O6" s="54"/>
      <c r="P6" s="54"/>
      <c r="Q6" s="54"/>
      <c r="R6" s="54"/>
    </row>
    <row r="7" spans="1:18" ht="18" customHeight="1" x14ac:dyDescent="0.4">
      <c r="A7" s="54"/>
      <c r="B7" s="91"/>
      <c r="C7" s="96" t="s">
        <v>80</v>
      </c>
      <c r="D7" s="99" t="str">
        <f>'TEKNINEN - TulostenLasku'!I8</f>
        <v>Ei vielä vastattu?</v>
      </c>
      <c r="E7" s="97">
        <f>'TEKNINEN - TulostenLasku'!D8</f>
        <v>0</v>
      </c>
      <c r="F7" s="97">
        <f>'TEKNINEN - TulostenLasku'!E8</f>
        <v>0</v>
      </c>
      <c r="G7" s="98">
        <f>'TEKNINEN - TulostenLasku'!G8</f>
        <v>0</v>
      </c>
      <c r="H7" s="98">
        <f>'TEKNINEN - TulostenLasku'!F8</f>
        <v>0</v>
      </c>
      <c r="I7" s="95"/>
      <c r="J7" s="54"/>
      <c r="K7" s="54"/>
      <c r="L7" s="54"/>
      <c r="M7" s="54"/>
      <c r="N7" s="54"/>
      <c r="O7" s="54"/>
      <c r="P7" s="54"/>
      <c r="Q7" s="54"/>
      <c r="R7" s="54"/>
    </row>
    <row r="8" spans="1:18" ht="18" customHeight="1" x14ac:dyDescent="0.4">
      <c r="A8" s="54"/>
      <c r="B8" s="91"/>
      <c r="C8" s="96" t="s">
        <v>123</v>
      </c>
      <c r="D8" s="99" t="str">
        <f>'TEKNINEN - TulostenLasku'!I9</f>
        <v>Ei vielä vastattu?</v>
      </c>
      <c r="E8" s="97">
        <f>'TEKNINEN - TulostenLasku'!D9</f>
        <v>0</v>
      </c>
      <c r="F8" s="97">
        <f>'TEKNINEN - TulostenLasku'!E9</f>
        <v>0</v>
      </c>
      <c r="G8" s="98">
        <f>'TEKNINEN - TulostenLasku'!G9</f>
        <v>0</v>
      </c>
      <c r="H8" s="98">
        <f>'TEKNINEN - TulostenLasku'!F9</f>
        <v>0</v>
      </c>
      <c r="I8" s="95"/>
      <c r="J8" s="54"/>
      <c r="K8" s="54"/>
      <c r="L8" s="54"/>
      <c r="M8" s="54"/>
      <c r="N8" s="54"/>
      <c r="O8" s="54"/>
      <c r="P8" s="54"/>
      <c r="Q8" s="54"/>
      <c r="R8" s="54"/>
    </row>
    <row r="9" spans="1:18" ht="18" customHeight="1" x14ac:dyDescent="0.4">
      <c r="A9" s="54"/>
      <c r="B9" s="91"/>
      <c r="C9" s="96" t="s">
        <v>5</v>
      </c>
      <c r="D9" s="99" t="str">
        <f>'TEKNINEN - TulostenLasku'!I10</f>
        <v>Ei vielä vastattu?</v>
      </c>
      <c r="E9" s="97">
        <f>'TEKNINEN - TulostenLasku'!D10</f>
        <v>0</v>
      </c>
      <c r="F9" s="97">
        <f>'TEKNINEN - TulostenLasku'!E10</f>
        <v>0</v>
      </c>
      <c r="G9" s="98">
        <f>'TEKNINEN - TulostenLasku'!G10</f>
        <v>0</v>
      </c>
      <c r="H9" s="98">
        <f>'TEKNINEN - TulostenLasku'!F10</f>
        <v>0</v>
      </c>
      <c r="I9" s="95"/>
      <c r="J9" s="54"/>
      <c r="K9" s="54"/>
      <c r="L9" s="54"/>
      <c r="M9" s="54"/>
      <c r="N9" s="54"/>
      <c r="O9" s="54"/>
      <c r="P9" s="54"/>
      <c r="Q9" s="54"/>
      <c r="R9" s="54"/>
    </row>
    <row r="10" spans="1:18" ht="18" customHeight="1" x14ac:dyDescent="0.45">
      <c r="A10" s="54"/>
      <c r="B10" s="91"/>
      <c r="C10" s="100"/>
      <c r="D10" s="103"/>
      <c r="E10" s="101"/>
      <c r="F10" s="101"/>
      <c r="G10" s="102"/>
      <c r="H10" s="102"/>
      <c r="I10" s="95"/>
      <c r="J10" s="54"/>
      <c r="K10" s="55"/>
      <c r="L10" s="54"/>
      <c r="M10" s="54"/>
      <c r="N10" s="54"/>
      <c r="O10" s="54"/>
      <c r="P10" s="54"/>
      <c r="Q10" s="54"/>
      <c r="R10" s="54"/>
    </row>
    <row r="11" spans="1:18" ht="15" thickBot="1" x14ac:dyDescent="0.4">
      <c r="A11" s="54"/>
      <c r="B11" s="104"/>
      <c r="C11" s="105"/>
      <c r="D11" s="105"/>
      <c r="E11" s="105"/>
      <c r="F11" s="105"/>
      <c r="G11" s="105"/>
      <c r="H11" s="105"/>
      <c r="I11" s="106"/>
      <c r="J11" s="54"/>
      <c r="K11" s="54"/>
      <c r="L11" s="54"/>
      <c r="M11" s="54"/>
      <c r="N11" s="54"/>
      <c r="O11" s="54"/>
      <c r="P11" s="54"/>
      <c r="Q11" s="54"/>
      <c r="R11" s="54"/>
    </row>
    <row r="12" spans="1:18" x14ac:dyDescent="0.35">
      <c r="A12" s="54"/>
      <c r="B12" s="144"/>
      <c r="C12" s="54"/>
      <c r="D12" s="54"/>
      <c r="E12" s="54"/>
      <c r="F12" s="54"/>
      <c r="G12" s="54"/>
      <c r="H12" s="54"/>
      <c r="I12" s="54"/>
      <c r="J12" s="54"/>
      <c r="K12" s="54"/>
      <c r="L12" s="54"/>
      <c r="M12" s="54"/>
      <c r="N12" s="54"/>
      <c r="O12" s="54"/>
      <c r="P12" s="54"/>
      <c r="Q12" s="54"/>
      <c r="R12" s="54"/>
    </row>
    <row r="13" spans="1:18" ht="16" x14ac:dyDescent="0.35">
      <c r="A13" s="54"/>
      <c r="B13" s="145" t="s">
        <v>260</v>
      </c>
      <c r="C13" s="54"/>
      <c r="D13" s="54"/>
      <c r="E13" s="54"/>
      <c r="F13" s="54"/>
      <c r="G13" s="54"/>
      <c r="H13" s="54"/>
      <c r="I13" s="54"/>
      <c r="J13" s="54"/>
      <c r="K13" s="82" t="s">
        <v>188</v>
      </c>
      <c r="L13" s="83">
        <v>1</v>
      </c>
      <c r="M13" s="84" t="s">
        <v>189</v>
      </c>
      <c r="N13" s="85"/>
      <c r="O13" s="86"/>
      <c r="P13" s="86"/>
      <c r="Q13" s="87"/>
      <c r="R13" s="54"/>
    </row>
    <row r="14" spans="1:18" ht="16" x14ac:dyDescent="0.35">
      <c r="A14" s="54"/>
      <c r="B14" s="156"/>
      <c r="C14" s="157" t="s">
        <v>7</v>
      </c>
      <c r="D14" s="148" t="str">
        <f>'TEKNINEN - TulostenLasku'!$C$51</f>
        <v>Vastattu 0 %:iin vesilaitostanne koskevista pakollisista kysymyksistä.</v>
      </c>
      <c r="E14" s="148"/>
      <c r="F14" s="148"/>
      <c r="G14" s="148"/>
      <c r="H14" s="148"/>
      <c r="I14" s="149" t="str">
        <f>IF('TEKNINEN - TulostenLasku'!$E$49=100,"Valmis","Kesken")</f>
        <v>Kesken</v>
      </c>
      <c r="J14" s="54"/>
      <c r="K14" s="82" t="s">
        <v>190</v>
      </c>
      <c r="L14" s="85" t="s">
        <v>191</v>
      </c>
      <c r="M14" s="84" t="s">
        <v>257</v>
      </c>
      <c r="N14" s="85"/>
      <c r="O14" s="86"/>
      <c r="P14" s="86"/>
      <c r="Q14" s="86"/>
      <c r="R14" s="54"/>
    </row>
    <row r="15" spans="1:18" ht="16" x14ac:dyDescent="0.35">
      <c r="A15" s="54"/>
      <c r="B15" s="150"/>
      <c r="C15" s="146" t="s">
        <v>80</v>
      </c>
      <c r="D15" s="54" t="str">
        <f>'TEKNINEN - TulostenLasku'!$C$52</f>
        <v>Vastattu 0 %:iin vesilaitostanne koskevista pakollisista kysymyksistä.</v>
      </c>
      <c r="E15" s="54"/>
      <c r="F15" s="54"/>
      <c r="G15" s="54"/>
      <c r="H15" s="54"/>
      <c r="I15" s="151" t="str">
        <f>IF('TEKNINEN - TulostenLasku'!$F$49=100,"Valmis","Kesken")</f>
        <v>Kesken</v>
      </c>
      <c r="J15" s="54"/>
      <c r="K15" s="82" t="s">
        <v>192</v>
      </c>
      <c r="L15" s="85" t="s">
        <v>193</v>
      </c>
      <c r="M15" s="84" t="s">
        <v>257</v>
      </c>
      <c r="N15" s="85"/>
      <c r="O15" s="86"/>
      <c r="P15" s="86"/>
      <c r="Q15" s="86"/>
      <c r="R15" s="54"/>
    </row>
    <row r="16" spans="1:18" ht="16" x14ac:dyDescent="0.35">
      <c r="A16" s="54"/>
      <c r="B16" s="152"/>
      <c r="C16" s="153" t="s">
        <v>123</v>
      </c>
      <c r="D16" s="154" t="str">
        <f>'TEKNINEN - TulostenLasku'!$C$53</f>
        <v>Vastattu 0 %:iin vesilaitostanne koskevista pakollisista kysymyksistä.</v>
      </c>
      <c r="E16" s="154"/>
      <c r="F16" s="154"/>
      <c r="G16" s="154"/>
      <c r="H16" s="154"/>
      <c r="I16" s="155" t="str">
        <f>IF('TEKNINEN - TulostenLasku'!$G$49=100,"Valmis","Kesken")</f>
        <v>Kesken</v>
      </c>
      <c r="J16" s="54"/>
      <c r="K16" s="82" t="s">
        <v>194</v>
      </c>
      <c r="L16" s="85" t="s">
        <v>195</v>
      </c>
      <c r="M16" s="84" t="s">
        <v>257</v>
      </c>
      <c r="N16" s="85"/>
      <c r="O16" s="86"/>
      <c r="P16" s="86"/>
      <c r="Q16" s="86"/>
      <c r="R16" s="54"/>
    </row>
    <row r="17" spans="1:18" ht="16" x14ac:dyDescent="0.35">
      <c r="A17" s="54"/>
      <c r="B17" s="54"/>
      <c r="C17" s="146"/>
      <c r="D17" s="54"/>
      <c r="E17" s="54"/>
      <c r="F17" s="54"/>
      <c r="G17" s="54"/>
      <c r="H17" s="54"/>
      <c r="I17" s="54"/>
      <c r="J17" s="54"/>
      <c r="K17" s="82" t="s">
        <v>196</v>
      </c>
      <c r="L17" s="85" t="s">
        <v>197</v>
      </c>
      <c r="M17" s="84" t="s">
        <v>257</v>
      </c>
      <c r="N17" s="85"/>
      <c r="O17" s="86"/>
      <c r="P17" s="86"/>
      <c r="Q17" s="86"/>
      <c r="R17" s="54"/>
    </row>
    <row r="18" spans="1:18" x14ac:dyDescent="0.35">
      <c r="A18" s="54"/>
      <c r="B18" s="54"/>
      <c r="C18" s="54"/>
      <c r="D18" s="54"/>
      <c r="E18" s="54"/>
      <c r="F18" s="54"/>
      <c r="G18" s="54"/>
      <c r="H18" s="54"/>
      <c r="I18" s="54"/>
      <c r="J18" s="54"/>
      <c r="K18" s="54"/>
      <c r="L18" s="54"/>
      <c r="M18" s="54"/>
      <c r="N18" s="54"/>
      <c r="O18" s="54"/>
      <c r="P18" s="54"/>
      <c r="Q18" s="54"/>
      <c r="R18" s="54"/>
    </row>
    <row r="19" spans="1:18" x14ac:dyDescent="0.35">
      <c r="A19" s="54"/>
      <c r="B19" s="54"/>
      <c r="C19" s="54"/>
      <c r="D19" s="54"/>
      <c r="E19" s="54"/>
      <c r="F19" s="54"/>
      <c r="G19" s="54"/>
      <c r="H19" s="54"/>
      <c r="I19" s="54"/>
      <c r="J19" s="54"/>
      <c r="K19" s="54"/>
      <c r="L19" s="54"/>
      <c r="M19" s="54"/>
      <c r="N19" s="54"/>
      <c r="O19" s="54"/>
      <c r="P19" s="54"/>
      <c r="Q19" s="54"/>
      <c r="R19" s="54"/>
    </row>
    <row r="20" spans="1:18" x14ac:dyDescent="0.35">
      <c r="A20" s="54"/>
      <c r="B20" s="54"/>
      <c r="C20" s="54"/>
      <c r="D20" s="54"/>
      <c r="E20" s="54"/>
      <c r="F20" s="54"/>
      <c r="G20" s="54"/>
      <c r="H20" s="54"/>
      <c r="I20" s="54"/>
      <c r="J20" s="54"/>
      <c r="K20" s="54"/>
      <c r="L20" s="54"/>
      <c r="M20" s="54"/>
      <c r="N20" s="54"/>
      <c r="O20" s="54"/>
      <c r="P20" s="54"/>
      <c r="Q20" s="54"/>
      <c r="R20" s="54"/>
    </row>
    <row r="21" spans="1:18" x14ac:dyDescent="0.35">
      <c r="A21" s="54"/>
      <c r="B21" s="54"/>
      <c r="C21" s="54"/>
      <c r="D21" s="54"/>
      <c r="E21" s="54"/>
      <c r="F21" s="54"/>
      <c r="G21" s="54"/>
      <c r="H21" s="54"/>
      <c r="I21" s="54"/>
      <c r="J21" s="54"/>
      <c r="K21" s="54"/>
      <c r="L21" s="54"/>
      <c r="M21" s="54"/>
      <c r="N21" s="54"/>
      <c r="O21" s="54"/>
      <c r="P21" s="54"/>
      <c r="Q21" s="54"/>
      <c r="R21" s="54"/>
    </row>
    <row r="22" spans="1:18" x14ac:dyDescent="0.35">
      <c r="A22" s="54"/>
      <c r="B22" s="54"/>
      <c r="C22" s="54"/>
      <c r="D22" s="54"/>
      <c r="E22" s="54"/>
      <c r="F22" s="54"/>
      <c r="G22" s="54"/>
      <c r="H22" s="54"/>
      <c r="I22" s="54"/>
      <c r="J22" s="54"/>
      <c r="K22" s="54"/>
      <c r="L22" s="54"/>
      <c r="M22" s="54"/>
      <c r="N22" s="54"/>
      <c r="O22" s="54"/>
      <c r="P22" s="54"/>
      <c r="Q22" s="54"/>
      <c r="R22" s="54"/>
    </row>
    <row r="23" spans="1:18" x14ac:dyDescent="0.35">
      <c r="A23" s="54"/>
      <c r="B23" s="54"/>
      <c r="C23" s="54"/>
      <c r="D23" s="54"/>
      <c r="E23" s="54"/>
      <c r="F23" s="54"/>
      <c r="G23" s="54"/>
      <c r="H23" s="54"/>
      <c r="I23" s="54"/>
      <c r="J23" s="54"/>
      <c r="K23" s="54"/>
      <c r="L23" s="54"/>
      <c r="M23" s="54"/>
      <c r="N23" s="54"/>
      <c r="O23" s="54"/>
      <c r="P23" s="54"/>
      <c r="Q23" s="54"/>
      <c r="R23" s="54"/>
    </row>
    <row r="24" spans="1:18" x14ac:dyDescent="0.35">
      <c r="A24" s="54"/>
      <c r="B24" s="54"/>
      <c r="C24" s="54"/>
      <c r="D24" s="54"/>
      <c r="E24" s="54"/>
      <c r="F24" s="54"/>
      <c r="G24" s="54"/>
      <c r="H24" s="54"/>
      <c r="I24" s="54"/>
      <c r="J24" s="54"/>
      <c r="K24" s="54"/>
      <c r="L24" s="54"/>
      <c r="M24" s="54"/>
      <c r="N24" s="54"/>
      <c r="O24" s="54"/>
      <c r="P24" s="54"/>
      <c r="Q24" s="54"/>
      <c r="R24" s="54"/>
    </row>
    <row r="25" spans="1:18" x14ac:dyDescent="0.35">
      <c r="A25" s="54"/>
      <c r="B25" s="54"/>
      <c r="C25" s="54"/>
      <c r="D25" s="54"/>
      <c r="E25" s="54"/>
      <c r="F25" s="54"/>
      <c r="G25" s="54"/>
      <c r="H25" s="54"/>
      <c r="I25" s="54"/>
      <c r="J25" s="54"/>
      <c r="K25" s="54"/>
      <c r="L25" s="54"/>
      <c r="M25" s="54"/>
      <c r="N25" s="54"/>
      <c r="O25" s="54"/>
      <c r="P25" s="54"/>
      <c r="Q25" s="54"/>
      <c r="R25" s="54"/>
    </row>
    <row r="26" spans="1:18" x14ac:dyDescent="0.35">
      <c r="A26" s="54"/>
      <c r="B26" s="54"/>
      <c r="C26" s="54"/>
      <c r="D26" s="54"/>
      <c r="E26" s="54"/>
      <c r="F26" s="54"/>
      <c r="G26" s="54"/>
      <c r="H26" s="54"/>
      <c r="I26" s="54"/>
      <c r="J26" s="54"/>
      <c r="K26" s="54"/>
      <c r="L26" s="54"/>
      <c r="M26" s="54"/>
      <c r="N26" s="54"/>
      <c r="O26" s="54"/>
      <c r="P26" s="54"/>
      <c r="Q26" s="54"/>
      <c r="R26" s="54"/>
    </row>
    <row r="27" spans="1:18" x14ac:dyDescent="0.35">
      <c r="A27" s="54"/>
      <c r="B27" s="54"/>
      <c r="C27" s="54"/>
      <c r="D27" s="54"/>
      <c r="E27" s="54"/>
      <c r="F27" s="54"/>
      <c r="G27" s="54"/>
      <c r="H27" s="54"/>
      <c r="I27" s="54"/>
      <c r="J27" s="54"/>
      <c r="K27" s="54"/>
      <c r="L27" s="54"/>
      <c r="M27" s="54"/>
      <c r="N27" s="54"/>
      <c r="O27" s="54"/>
      <c r="P27" s="54"/>
      <c r="Q27" s="54"/>
      <c r="R27" s="54"/>
    </row>
    <row r="28" spans="1:18" x14ac:dyDescent="0.35">
      <c r="A28" s="54"/>
      <c r="B28" s="54"/>
      <c r="C28" s="54"/>
      <c r="D28" s="54"/>
      <c r="E28" s="54"/>
      <c r="F28" s="54"/>
      <c r="G28" s="54"/>
      <c r="H28" s="54"/>
      <c r="I28" s="54"/>
      <c r="J28" s="54"/>
      <c r="K28" s="54"/>
      <c r="L28" s="54"/>
      <c r="M28" s="54"/>
      <c r="N28" s="54"/>
      <c r="O28" s="54"/>
      <c r="P28" s="54"/>
      <c r="Q28" s="54"/>
      <c r="R28" s="54"/>
    </row>
    <row r="29" spans="1:18" x14ac:dyDescent="0.35">
      <c r="A29" s="54"/>
      <c r="B29" s="54"/>
      <c r="C29" s="54"/>
      <c r="D29" s="54"/>
      <c r="E29" s="54"/>
      <c r="F29" s="54"/>
      <c r="G29" s="54"/>
      <c r="H29" s="54"/>
      <c r="I29" s="54"/>
      <c r="J29" s="54"/>
      <c r="K29" s="54"/>
      <c r="L29" s="54"/>
      <c r="M29" s="54"/>
      <c r="N29" s="54"/>
      <c r="O29" s="54"/>
      <c r="P29" s="54"/>
      <c r="Q29" s="54"/>
      <c r="R29" s="54"/>
    </row>
    <row r="30" spans="1:18" x14ac:dyDescent="0.35">
      <c r="A30" s="54"/>
      <c r="B30" s="54"/>
      <c r="C30" s="54"/>
      <c r="D30" s="54"/>
      <c r="E30" s="54"/>
      <c r="F30" s="54"/>
      <c r="G30" s="54"/>
      <c r="H30" s="54"/>
      <c r="I30" s="54"/>
      <c r="J30" s="54"/>
      <c r="K30" s="54"/>
      <c r="L30" s="54"/>
      <c r="M30" s="54"/>
      <c r="N30" s="54"/>
      <c r="O30" s="54"/>
      <c r="P30" s="54"/>
      <c r="Q30" s="54"/>
      <c r="R30" s="54"/>
    </row>
    <row r="31" spans="1:18" x14ac:dyDescent="0.35">
      <c r="A31" s="54"/>
      <c r="B31" s="54"/>
      <c r="C31" s="54"/>
      <c r="D31" s="54"/>
      <c r="E31" s="54"/>
      <c r="F31" s="54"/>
      <c r="G31" s="54"/>
      <c r="H31" s="54"/>
      <c r="I31" s="54"/>
      <c r="J31" s="54"/>
      <c r="K31" s="54"/>
      <c r="L31" s="54"/>
      <c r="M31" s="54"/>
      <c r="N31" s="54"/>
      <c r="O31" s="54"/>
      <c r="P31" s="54"/>
      <c r="Q31" s="54"/>
      <c r="R31" s="54"/>
    </row>
    <row r="32" spans="1:18" x14ac:dyDescent="0.35">
      <c r="A32" s="54"/>
      <c r="B32" s="54"/>
      <c r="C32" s="54"/>
      <c r="D32" s="54"/>
      <c r="E32" s="54"/>
      <c r="F32" s="54"/>
      <c r="G32" s="54"/>
      <c r="H32" s="54"/>
      <c r="I32" s="54"/>
      <c r="J32" s="54"/>
      <c r="K32" s="54"/>
      <c r="L32" s="54"/>
      <c r="M32" s="54"/>
      <c r="N32" s="54"/>
      <c r="O32" s="54"/>
      <c r="P32" s="54"/>
      <c r="Q32" s="54"/>
      <c r="R32" s="54"/>
    </row>
    <row r="33" spans="1:18" x14ac:dyDescent="0.35">
      <c r="A33" s="54"/>
      <c r="B33" s="54"/>
      <c r="C33" s="54"/>
      <c r="D33" s="54"/>
      <c r="E33" s="54"/>
      <c r="F33" s="54"/>
      <c r="G33" s="54"/>
      <c r="H33" s="54"/>
      <c r="I33" s="54"/>
      <c r="J33" s="54"/>
      <c r="K33" s="54"/>
      <c r="L33" s="54"/>
      <c r="M33" s="54"/>
      <c r="N33" s="54"/>
      <c r="O33" s="54"/>
      <c r="P33" s="54"/>
      <c r="Q33" s="54"/>
      <c r="R33" s="54"/>
    </row>
    <row r="34" spans="1:18" x14ac:dyDescent="0.35">
      <c r="A34" s="54"/>
      <c r="B34" s="54"/>
      <c r="C34" s="54"/>
      <c r="D34" s="54"/>
      <c r="E34" s="54"/>
      <c r="F34" s="54"/>
      <c r="G34" s="54"/>
      <c r="H34" s="54"/>
      <c r="I34" s="54"/>
      <c r="J34" s="54"/>
      <c r="K34" s="54"/>
      <c r="L34" s="54"/>
      <c r="M34" s="54"/>
      <c r="N34" s="54"/>
      <c r="O34" s="54"/>
      <c r="P34" s="54"/>
      <c r="Q34" s="54"/>
      <c r="R34" s="54"/>
    </row>
    <row r="35" spans="1:18" x14ac:dyDescent="0.35">
      <c r="A35" s="54"/>
      <c r="B35" s="54"/>
      <c r="C35" s="54"/>
      <c r="D35" s="54"/>
      <c r="E35" s="54"/>
      <c r="F35" s="54"/>
      <c r="G35" s="54"/>
      <c r="H35" s="54"/>
      <c r="I35" s="54"/>
      <c r="J35" s="54"/>
      <c r="K35" s="54"/>
      <c r="L35" s="54"/>
      <c r="M35" s="54"/>
      <c r="N35" s="54"/>
      <c r="O35" s="54"/>
      <c r="P35" s="54"/>
      <c r="Q35" s="54"/>
      <c r="R35" s="54"/>
    </row>
    <row r="36" spans="1:18" x14ac:dyDescent="0.35">
      <c r="A36" s="54"/>
      <c r="B36" s="54"/>
      <c r="C36" s="54"/>
      <c r="D36" s="54"/>
      <c r="E36" s="54"/>
      <c r="F36" s="54"/>
      <c r="G36" s="54"/>
      <c r="H36" s="54"/>
      <c r="I36" s="54"/>
      <c r="J36" s="54"/>
      <c r="K36" s="54"/>
      <c r="L36" s="54"/>
      <c r="M36" s="54"/>
      <c r="N36" s="54"/>
      <c r="O36" s="54"/>
      <c r="P36" s="54"/>
      <c r="Q36" s="54"/>
      <c r="R36" s="54"/>
    </row>
    <row r="37" spans="1:18" x14ac:dyDescent="0.35">
      <c r="A37" s="54"/>
      <c r="B37" s="54"/>
      <c r="C37" s="54"/>
      <c r="D37" s="54"/>
      <c r="E37" s="54"/>
      <c r="F37" s="54"/>
      <c r="G37" s="54"/>
      <c r="H37" s="54"/>
      <c r="I37" s="54"/>
      <c r="J37" s="54"/>
      <c r="K37" s="54"/>
      <c r="L37" s="54"/>
      <c r="M37" s="54"/>
      <c r="N37" s="54"/>
      <c r="O37" s="54"/>
      <c r="P37" s="54"/>
      <c r="Q37" s="54"/>
      <c r="R37" s="54"/>
    </row>
    <row r="38" spans="1:18" x14ac:dyDescent="0.35">
      <c r="A38" s="54"/>
      <c r="B38" s="54"/>
      <c r="C38" s="54"/>
      <c r="D38" s="54"/>
      <c r="E38" s="54"/>
      <c r="F38" s="54"/>
      <c r="G38" s="54"/>
      <c r="H38" s="54"/>
      <c r="I38" s="54"/>
      <c r="J38" s="54"/>
      <c r="K38" s="54"/>
      <c r="L38" s="54"/>
      <c r="M38" s="54"/>
      <c r="N38" s="54"/>
      <c r="O38" s="54"/>
      <c r="P38" s="54"/>
      <c r="Q38" s="54"/>
      <c r="R38" s="54"/>
    </row>
    <row r="39" spans="1:18" x14ac:dyDescent="0.35">
      <c r="A39" s="54"/>
      <c r="B39" s="54"/>
      <c r="C39" s="54"/>
      <c r="D39" s="54"/>
      <c r="E39" s="54"/>
      <c r="F39" s="54"/>
      <c r="G39" s="54"/>
      <c r="H39" s="54"/>
      <c r="I39" s="54"/>
      <c r="J39" s="54"/>
      <c r="K39" s="54"/>
      <c r="L39" s="54"/>
      <c r="M39" s="54"/>
      <c r="N39" s="54"/>
      <c r="O39" s="54"/>
      <c r="P39" s="54"/>
      <c r="Q39" s="54"/>
      <c r="R39" s="54"/>
    </row>
    <row r="40" spans="1:18" x14ac:dyDescent="0.35">
      <c r="A40" s="54"/>
      <c r="B40" s="54"/>
      <c r="C40" s="54"/>
      <c r="D40" s="54"/>
      <c r="E40" s="54"/>
      <c r="F40" s="54"/>
      <c r="G40" s="54"/>
      <c r="H40" s="54"/>
      <c r="I40" s="54"/>
      <c r="J40" s="54"/>
      <c r="K40" s="54"/>
      <c r="L40" s="54"/>
      <c r="M40" s="54"/>
      <c r="N40" s="54"/>
      <c r="O40" s="54"/>
      <c r="P40" s="54"/>
      <c r="Q40" s="54"/>
      <c r="R40" s="54"/>
    </row>
    <row r="41" spans="1:18" x14ac:dyDescent="0.35">
      <c r="A41" s="54"/>
      <c r="B41" s="54"/>
      <c r="C41" s="54"/>
      <c r="D41" s="54"/>
      <c r="E41" s="54"/>
      <c r="F41" s="54"/>
      <c r="G41" s="54"/>
      <c r="H41" s="54"/>
      <c r="I41" s="54"/>
      <c r="J41" s="54"/>
      <c r="K41" s="54"/>
      <c r="L41" s="54"/>
      <c r="M41" s="54"/>
      <c r="N41" s="54"/>
      <c r="O41" s="54"/>
      <c r="P41" s="54"/>
      <c r="Q41" s="54"/>
      <c r="R41" s="54"/>
    </row>
    <row r="42" spans="1:18" x14ac:dyDescent="0.35">
      <c r="A42" s="54"/>
      <c r="B42" s="54"/>
      <c r="C42" s="54"/>
      <c r="D42" s="54"/>
      <c r="E42" s="54"/>
      <c r="F42" s="54"/>
      <c r="G42" s="54"/>
      <c r="H42" s="54"/>
      <c r="I42" s="54"/>
      <c r="J42" s="54"/>
      <c r="K42" s="54"/>
      <c r="L42" s="54"/>
      <c r="M42" s="54"/>
      <c r="N42" s="54"/>
      <c r="O42" s="54"/>
      <c r="P42" s="54"/>
      <c r="Q42" s="54"/>
      <c r="R42" s="54"/>
    </row>
    <row r="43" spans="1:18" x14ac:dyDescent="0.35">
      <c r="A43" s="54"/>
      <c r="B43" s="54"/>
      <c r="C43" s="54"/>
      <c r="D43" s="54"/>
      <c r="E43" s="54"/>
      <c r="F43" s="54"/>
      <c r="G43" s="54"/>
      <c r="H43" s="54"/>
      <c r="I43" s="54"/>
      <c r="J43" s="54"/>
      <c r="K43" s="54"/>
      <c r="L43" s="54"/>
      <c r="M43" s="54"/>
      <c r="N43" s="54"/>
      <c r="O43" s="54"/>
      <c r="P43" s="54"/>
      <c r="Q43" s="54"/>
      <c r="R43" s="54"/>
    </row>
    <row r="44" spans="1:18" x14ac:dyDescent="0.35">
      <c r="A44" s="54"/>
      <c r="B44" s="54"/>
      <c r="C44" s="54"/>
      <c r="D44" s="54"/>
      <c r="E44" s="54"/>
      <c r="F44" s="54"/>
      <c r="G44" s="54"/>
      <c r="H44" s="54"/>
      <c r="I44" s="54"/>
      <c r="J44" s="54"/>
      <c r="K44" s="54"/>
      <c r="L44" s="54"/>
      <c r="M44" s="54"/>
      <c r="N44" s="54"/>
      <c r="O44" s="54"/>
      <c r="P44" s="54"/>
      <c r="Q44" s="54"/>
      <c r="R44" s="54"/>
    </row>
  </sheetData>
  <conditionalFormatting sqref="D6:D9">
    <cfRule type="containsText" dxfId="11" priority="8" operator="containsText" text="Erittäin huono">
      <formula>NOT(ISERROR(SEARCH("Erittäin huono",D6)))</formula>
    </cfRule>
    <cfRule type="containsText" dxfId="10" priority="9" operator="containsText" text="Huono">
      <formula>NOT(ISERROR(SEARCH("Huono",D6)))</formula>
    </cfRule>
    <cfRule type="containsText" dxfId="9" priority="10" operator="containsText" text="Korjattavaa">
      <formula>NOT(ISERROR(SEARCH("Korjattavaa",D6)))</formula>
    </cfRule>
    <cfRule type="containsText" dxfId="8" priority="11" operator="containsText" text="Hyvä">
      <formula>NOT(ISERROR(SEARCH("Hyvä",D6)))</formula>
    </cfRule>
    <cfRule type="containsText" dxfId="7" priority="12" operator="containsText" text="Erinomainen">
      <formula>NOT(ISERROR(SEARCH("Erinomainen",D6)))</formula>
    </cfRule>
  </conditionalFormatting>
  <conditionalFormatting sqref="I14:I16">
    <cfRule type="containsText" dxfId="6" priority="1" operator="containsText" text="Valmis">
      <formula>NOT(ISERROR(SEARCH("Valmis",I14)))</formula>
    </cfRule>
    <cfRule type="containsText" dxfId="5" priority="2" operator="containsText" text="Kesken">
      <formula>NOT(ISERROR(SEARCH("Kesken",I14)))</formula>
    </cfRule>
  </conditionalFormatting>
  <conditionalFormatting sqref="K13:K17">
    <cfRule type="containsText" dxfId="4" priority="3" operator="containsText" text="Erittäin huono">
      <formula>NOT(ISERROR(SEARCH("Erittäin huono",K13)))</formula>
    </cfRule>
    <cfRule type="containsText" dxfId="3" priority="4" operator="containsText" text="Huono">
      <formula>NOT(ISERROR(SEARCH("Huono",K13)))</formula>
    </cfRule>
    <cfRule type="containsText" dxfId="2" priority="5" operator="containsText" text="Korjattavaa">
      <formula>NOT(ISERROR(SEARCH("Korjattavaa",K13)))</formula>
    </cfRule>
    <cfRule type="containsText" dxfId="1" priority="6" operator="containsText" text="Hyvä">
      <formula>NOT(ISERROR(SEARCH("Hyvä",K13)))</formula>
    </cfRule>
    <cfRule type="containsText" dxfId="0" priority="7" operator="containsText" text="Erinomainen">
      <formula>NOT(ISERROR(SEARCH("Erinomainen",K13)))</formula>
    </cfRule>
  </conditionalFormatting>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C288B6E0794A7644B0AFD7A1938EE3AF" ma:contentTypeVersion="19" ma:contentTypeDescription="Luo uusi asiakirja." ma:contentTypeScope="" ma:versionID="d5226b5df314a947c39d52e317c27300">
  <xsd:schema xmlns:xsd="http://www.w3.org/2001/XMLSchema" xmlns:xs="http://www.w3.org/2001/XMLSchema" xmlns:p="http://schemas.microsoft.com/office/2006/metadata/properties" xmlns:ns2="44a5ebd8-b9bd-4f76-9ea5-f6d45203b8d2" xmlns:ns3="e5c82937-2ea2-4861-be31-63ded3678d05" targetNamespace="http://schemas.microsoft.com/office/2006/metadata/properties" ma:root="true" ma:fieldsID="5e3c7916e7f0f700f618cc894909ece8" ns2:_="" ns3:_="">
    <xsd:import namespace="44a5ebd8-b9bd-4f76-9ea5-f6d45203b8d2"/>
    <xsd:import namespace="e5c82937-2ea2-4861-be31-63ded3678d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5ebd8-b9bd-4f76-9ea5-f6d45203b8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d990ad3-1d93-4d8b-98a7-316ee4c16c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2937-2ea2-4861-be31-63ded3678d05" elementFormDefault="qualified">
    <xsd:import namespace="http://schemas.microsoft.com/office/2006/documentManagement/types"/>
    <xsd:import namespace="http://schemas.microsoft.com/office/infopath/2007/PartnerControls"/>
    <xsd:element name="SharedWithUsers" ma:index="19"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71bf1d23-02d4-42b1-81cf-efcd8a7f4706}" ma:internalName="TaxCatchAll" ma:showField="CatchAllData" ma:web="e5c82937-2ea2-4861-be31-63ded3678d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2937-2ea2-4861-be31-63ded3678d05" xsi:nil="true"/>
    <lcf76f155ced4ddcb4097134ff3c332f xmlns="44a5ebd8-b9bd-4f76-9ea5-f6d45203b8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1C5910-BFBA-4443-8A6B-F56392972242}"/>
</file>

<file path=customXml/itemProps2.xml><?xml version="1.0" encoding="utf-8"?>
<ds:datastoreItem xmlns:ds="http://schemas.openxmlformats.org/officeDocument/2006/customXml" ds:itemID="{3D50462D-7794-4522-B475-AFCF7741A243}"/>
</file>

<file path=customXml/itemProps3.xml><?xml version="1.0" encoding="utf-8"?>
<ds:datastoreItem xmlns:ds="http://schemas.openxmlformats.org/officeDocument/2006/customXml" ds:itemID="{F3FE5051-8585-4381-BB09-57FC33CF4212}"/>
</file>

<file path=docMetadata/LabelInfo.xml><?xml version="1.0" encoding="utf-8"?>
<clbl:labelList xmlns:clbl="http://schemas.microsoft.com/office/2020/mipLabelMetadata">
  <clbl:label id="{b7d930e5-5996-48c6-b5c7-ac2a8b840da7}" enabled="1" method="Privileged" siteId="{5b73a072-2f1f-46ad-92ca-a9b3993e45aa}"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Laskentataulukot</vt:lpstr>
      </vt:variant>
      <vt:variant>
        <vt:i4>13</vt:i4>
      </vt:variant>
    </vt:vector>
  </HeadingPairs>
  <TitlesOfParts>
    <vt:vector size="13" baseType="lpstr">
      <vt:lpstr>Lähtötiedot</vt:lpstr>
      <vt:lpstr>LV</vt:lpstr>
      <vt:lpstr>Kysymyspankki</vt:lpstr>
      <vt:lpstr>Ohje</vt:lpstr>
      <vt:lpstr>Turvallinen_ja_toimintavarma</vt:lpstr>
      <vt:lpstr>Kustannustehokas_ja_organisoitu</vt:lpstr>
      <vt:lpstr>Kestävä_ja_kehittyvä</vt:lpstr>
      <vt:lpstr>TEKNINEN - TulostenLasku</vt:lpstr>
      <vt:lpstr>Tulokset</vt:lpstr>
      <vt:lpstr>TEKNINEN - Korjattavaa</vt:lpstr>
      <vt:lpstr>Korjattavaa</vt:lpstr>
      <vt:lpstr>TEKNINEN - Koontisivu</vt:lpstr>
      <vt:lpstr>Koontisivu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2026-03-19T08:46:35Z</dcterms:created>
  <dcterms:modified xsi:type="dcterms:W3CDTF">2026-03-20T08:05:02Z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0x010100C288B6E0794A7644B0AFD7A1938EE3AF</vt:lpwstr>
  </property>
</Properties>
</file>